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70" yWindow="600" windowWidth="19440" windowHeight="10425" activeTab="5"/>
  </bookViews>
  <sheets>
    <sheet name="1 внесены изменения" sheetId="1" r:id="rId1"/>
    <sheet name="2 " sheetId="2" r:id="rId2"/>
    <sheet name="3" sheetId="3" r:id="rId3"/>
    <sheet name="4 " sheetId="4" r:id="rId4"/>
    <sheet name="5 " sheetId="5" r:id="rId5"/>
    <sheet name="6 " sheetId="6" r:id="rId6"/>
    <sheet name="7" sheetId="7" r:id="rId7"/>
    <sheet name="Лист1" sheetId="8" r:id="rId8"/>
    <sheet name="8" sheetId="9" r:id="rId9"/>
  </sheets>
  <externalReferences>
    <externalReference r:id="rId10"/>
    <externalReference r:id="rId11"/>
    <externalReference r:id="rId12"/>
    <externalReference r:id="rId13"/>
    <externalReference r:id="rId14"/>
    <externalReference r:id="rId15"/>
    <externalReference r:id="rId16"/>
  </externalReferences>
  <definedNames>
    <definedName name="_ftn1" localSheetId="1">'2 '!$E$137</definedName>
    <definedName name="_ftnref1" localSheetId="1">'2 '!$E$129</definedName>
    <definedName name="_xlnm._FilterDatabase" localSheetId="5" hidden="1">'6 '!$A$10:$L$73</definedName>
    <definedName name="_xlnm.Print_Area" localSheetId="0">'1 внесены изменения'!$A$1:$S$98</definedName>
    <definedName name="_xlnm.Print_Area" localSheetId="1">'2 '!$A$1:$I$177</definedName>
    <definedName name="_xlnm.Print_Area" localSheetId="2">'3'!$A$1:$Q$18</definedName>
    <definedName name="_xlnm.Print_Area" localSheetId="3">'4 '!$A$1:$V$60</definedName>
    <definedName name="_xlnm.Print_Area" localSheetId="4">'5 '!$A$1:$Z$342</definedName>
    <definedName name="_xlnm.Print_Area" localSheetId="5">'6 '!$A$1:$S$73</definedName>
  </definedNames>
  <calcPr calcId="125725"/>
</workbook>
</file>

<file path=xl/calcChain.xml><?xml version="1.0" encoding="utf-8"?>
<calcChain xmlns="http://schemas.openxmlformats.org/spreadsheetml/2006/main">
  <c r="E73" i="6"/>
  <c r="E72"/>
  <c r="M71"/>
  <c r="L71"/>
  <c r="K71"/>
  <c r="J71"/>
  <c r="H71"/>
  <c r="G71"/>
  <c r="E71"/>
  <c r="S70"/>
  <c r="R70"/>
  <c r="Q70"/>
  <c r="P70"/>
  <c r="O70"/>
  <c r="N70"/>
  <c r="M70"/>
  <c r="L70"/>
  <c r="K70"/>
  <c r="J70"/>
  <c r="H70"/>
  <c r="E70"/>
  <c r="S69"/>
  <c r="R69"/>
  <c r="Q69"/>
  <c r="P69"/>
  <c r="O69"/>
  <c r="N69"/>
  <c r="M69"/>
  <c r="L69"/>
  <c r="J69"/>
  <c r="E69"/>
  <c r="N68"/>
  <c r="K68"/>
  <c r="J68"/>
  <c r="H68"/>
  <c r="G68"/>
  <c r="E67"/>
  <c r="S66"/>
  <c r="R66"/>
  <c r="Q66"/>
  <c r="P66"/>
  <c r="O66"/>
  <c r="N66"/>
  <c r="K66"/>
  <c r="J66"/>
  <c r="I66"/>
  <c r="H66"/>
  <c r="G66"/>
  <c r="F66"/>
  <c r="S65"/>
  <c r="R65"/>
  <c r="Q65"/>
  <c r="P65"/>
  <c r="O65"/>
  <c r="N65"/>
  <c r="K65"/>
  <c r="J65"/>
  <c r="I65"/>
  <c r="H65"/>
  <c r="G65"/>
  <c r="F65"/>
  <c r="E64"/>
  <c r="E63"/>
  <c r="E62"/>
  <c r="E61"/>
  <c r="S60"/>
  <c r="R60"/>
  <c r="Q60"/>
  <c r="P60"/>
  <c r="O60"/>
  <c r="N60"/>
  <c r="M60"/>
  <c r="L60"/>
  <c r="K60"/>
  <c r="J60"/>
  <c r="E60"/>
  <c r="S59"/>
  <c r="R59"/>
  <c r="Q59"/>
  <c r="P59"/>
  <c r="O59"/>
  <c r="N59"/>
  <c r="M59"/>
  <c r="L59"/>
  <c r="K59"/>
  <c r="J59"/>
  <c r="H59"/>
  <c r="F59"/>
  <c r="E59"/>
  <c r="E58"/>
  <c r="S57"/>
  <c r="R57"/>
  <c r="Q57"/>
  <c r="P57"/>
  <c r="O57"/>
  <c r="N57"/>
  <c r="M57"/>
  <c r="L57"/>
  <c r="K57"/>
  <c r="J57"/>
  <c r="I57"/>
  <c r="H57"/>
  <c r="G57"/>
  <c r="F57"/>
  <c r="E57"/>
  <c r="S56"/>
  <c r="R56"/>
  <c r="Q56"/>
  <c r="P56"/>
  <c r="O56"/>
  <c r="N56"/>
  <c r="M56"/>
  <c r="L56"/>
  <c r="K56"/>
  <c r="J56"/>
  <c r="I56"/>
  <c r="H56"/>
  <c r="G56"/>
  <c r="F56"/>
  <c r="E56"/>
  <c r="E55"/>
  <c r="E54"/>
  <c r="E53"/>
  <c r="E52"/>
  <c r="S51"/>
  <c r="R51"/>
  <c r="Q51"/>
  <c r="P51"/>
  <c r="M51"/>
  <c r="L51"/>
  <c r="K51"/>
  <c r="J51"/>
  <c r="E51"/>
  <c r="S50"/>
  <c r="R50"/>
  <c r="M50"/>
  <c r="L50"/>
  <c r="K50"/>
  <c r="J50"/>
  <c r="I50"/>
  <c r="H50"/>
  <c r="G50"/>
  <c r="F50"/>
  <c r="E50"/>
  <c r="E49"/>
  <c r="S48"/>
  <c r="R48"/>
  <c r="Q48"/>
  <c r="P48"/>
  <c r="O48"/>
  <c r="N48"/>
  <c r="M48"/>
  <c r="L48"/>
  <c r="K48"/>
  <c r="J48"/>
  <c r="I48"/>
  <c r="H48"/>
  <c r="G48"/>
  <c r="F48"/>
  <c r="E48"/>
  <c r="S47"/>
  <c r="R47"/>
  <c r="Q47"/>
  <c r="P47"/>
  <c r="O47"/>
  <c r="N47"/>
  <c r="M47"/>
  <c r="L47"/>
  <c r="K47"/>
  <c r="J47"/>
  <c r="I47"/>
  <c r="H47"/>
  <c r="G47"/>
  <c r="F47"/>
  <c r="E47"/>
  <c r="H46"/>
  <c r="F46"/>
  <c r="E46"/>
  <c r="E45"/>
  <c r="E44"/>
  <c r="E43"/>
  <c r="J42"/>
  <c r="E42"/>
  <c r="S41"/>
  <c r="R41"/>
  <c r="Q41"/>
  <c r="P41"/>
  <c r="O41"/>
  <c r="N41"/>
  <c r="M41"/>
  <c r="L41"/>
  <c r="K41"/>
  <c r="J41"/>
  <c r="H41"/>
  <c r="G41"/>
  <c r="F41"/>
  <c r="E41"/>
  <c r="E40"/>
  <c r="S39"/>
  <c r="R39"/>
  <c r="Q39"/>
  <c r="P39"/>
  <c r="O39"/>
  <c r="N39"/>
  <c r="M39"/>
  <c r="L39"/>
  <c r="K39"/>
  <c r="J39"/>
  <c r="I39"/>
  <c r="H39"/>
  <c r="G39"/>
  <c r="F39"/>
  <c r="E39"/>
  <c r="S38"/>
  <c r="R38"/>
  <c r="Q38"/>
  <c r="P38"/>
  <c r="O38"/>
  <c r="N38"/>
  <c r="M38"/>
  <c r="L38"/>
  <c r="K38"/>
  <c r="J38"/>
  <c r="I38"/>
  <c r="H38"/>
  <c r="G38"/>
  <c r="F38"/>
  <c r="E38"/>
  <c r="S37"/>
  <c r="R37"/>
  <c r="Q37"/>
  <c r="P37"/>
  <c r="O37"/>
  <c r="N37"/>
  <c r="M37"/>
  <c r="H37"/>
  <c r="G37"/>
  <c r="E37"/>
  <c r="E36"/>
  <c r="O35"/>
  <c r="N35"/>
  <c r="M35"/>
  <c r="L35"/>
  <c r="K35"/>
  <c r="J35"/>
  <c r="E35"/>
  <c r="S34"/>
  <c r="R34"/>
  <c r="Q34"/>
  <c r="P34"/>
  <c r="O34"/>
  <c r="M34"/>
  <c r="L34"/>
  <c r="K34"/>
  <c r="J34"/>
  <c r="H34"/>
  <c r="G34"/>
  <c r="F34"/>
  <c r="E34"/>
  <c r="S33"/>
  <c r="R33"/>
  <c r="Q33"/>
  <c r="P33"/>
  <c r="O33"/>
  <c r="N33"/>
  <c r="M33"/>
  <c r="L33"/>
  <c r="K33"/>
  <c r="J33"/>
  <c r="I33"/>
  <c r="H33"/>
  <c r="G33"/>
  <c r="F33"/>
  <c r="E33"/>
  <c r="S32"/>
  <c r="R32"/>
  <c r="Q32"/>
  <c r="P32"/>
  <c r="M32"/>
  <c r="L32"/>
  <c r="K32"/>
  <c r="J32"/>
  <c r="I32"/>
  <c r="G32"/>
  <c r="F32"/>
  <c r="E32"/>
  <c r="E31"/>
  <c r="S30"/>
  <c r="R30"/>
  <c r="Q30"/>
  <c r="P30"/>
  <c r="O30"/>
  <c r="N30"/>
  <c r="M30"/>
  <c r="L30"/>
  <c r="K30"/>
  <c r="J30"/>
  <c r="I30"/>
  <c r="H30"/>
  <c r="G30"/>
  <c r="F30"/>
  <c r="E30"/>
  <c r="S29"/>
  <c r="R29"/>
  <c r="Q29"/>
  <c r="P29"/>
  <c r="O29"/>
  <c r="N29"/>
  <c r="M29"/>
  <c r="L29"/>
  <c r="K29"/>
  <c r="J29"/>
  <c r="I29"/>
  <c r="H29"/>
  <c r="G29"/>
  <c r="F29"/>
  <c r="E29"/>
  <c r="E28"/>
  <c r="E27"/>
  <c r="M26"/>
  <c r="L26"/>
  <c r="G26"/>
  <c r="E26"/>
  <c r="S25"/>
  <c r="R25"/>
  <c r="Q25"/>
  <c r="P25"/>
  <c r="O25"/>
  <c r="N25"/>
  <c r="M25"/>
  <c r="L25"/>
  <c r="K25"/>
  <c r="J25"/>
  <c r="F25"/>
  <c r="E25"/>
  <c r="S24"/>
  <c r="R24"/>
  <c r="J24"/>
  <c r="F24"/>
  <c r="E24"/>
  <c r="S23"/>
  <c r="R23"/>
  <c r="Q23"/>
  <c r="P23"/>
  <c r="O23"/>
  <c r="N23"/>
  <c r="M23"/>
  <c r="L23"/>
  <c r="E23" s="1"/>
  <c r="K23"/>
  <c r="J23"/>
  <c r="G23"/>
  <c r="F23"/>
  <c r="E22"/>
  <c r="S21"/>
  <c r="R21"/>
  <c r="Q21"/>
  <c r="P21"/>
  <c r="O21"/>
  <c r="N21"/>
  <c r="M21"/>
  <c r="L21"/>
  <c r="K21"/>
  <c r="J21"/>
  <c r="I21"/>
  <c r="H21"/>
  <c r="G21"/>
  <c r="F21"/>
  <c r="E21"/>
  <c r="S20"/>
  <c r="R20"/>
  <c r="Q20"/>
  <c r="P20"/>
  <c r="O20"/>
  <c r="N20"/>
  <c r="M20"/>
  <c r="L20"/>
  <c r="K20"/>
  <c r="J20"/>
  <c r="I20"/>
  <c r="H20"/>
  <c r="G20"/>
  <c r="F20"/>
  <c r="E20"/>
  <c r="S19"/>
  <c r="R19"/>
  <c r="Q19"/>
  <c r="P19"/>
  <c r="O19"/>
  <c r="N19"/>
  <c r="M19"/>
  <c r="L19"/>
  <c r="K19"/>
  <c r="J19"/>
  <c r="I19"/>
  <c r="H19"/>
  <c r="G19"/>
  <c r="F19"/>
  <c r="E19"/>
  <c r="S18"/>
  <c r="R18"/>
  <c r="Q18"/>
  <c r="P18"/>
  <c r="O18"/>
  <c r="N18"/>
  <c r="M18"/>
  <c r="L18"/>
  <c r="K18"/>
  <c r="J18"/>
  <c r="I18"/>
  <c r="H18"/>
  <c r="G18"/>
  <c r="F18"/>
  <c r="E18"/>
  <c r="S17"/>
  <c r="R17"/>
  <c r="Q17"/>
  <c r="P17"/>
  <c r="O17"/>
  <c r="N17"/>
  <c r="M17"/>
  <c r="L17"/>
  <c r="K17"/>
  <c r="J17"/>
  <c r="I17"/>
  <c r="H17"/>
  <c r="G17"/>
  <c r="F17"/>
  <c r="E17"/>
  <c r="S16"/>
  <c r="R16"/>
  <c r="Q16"/>
  <c r="P16"/>
  <c r="O16"/>
  <c r="N16"/>
  <c r="M16"/>
  <c r="L16"/>
  <c r="K16"/>
  <c r="J16"/>
  <c r="I16"/>
  <c r="H16"/>
  <c r="G16"/>
  <c r="F16"/>
  <c r="E16"/>
  <c r="S15"/>
  <c r="R15"/>
  <c r="Q15"/>
  <c r="P15"/>
  <c r="O15"/>
  <c r="N15"/>
  <c r="M15"/>
  <c r="L15"/>
  <c r="K15"/>
  <c r="J15"/>
  <c r="I15"/>
  <c r="H15"/>
  <c r="G15"/>
  <c r="F15"/>
  <c r="E15"/>
  <c r="S14"/>
  <c r="R14"/>
  <c r="Q14"/>
  <c r="P14"/>
  <c r="O14"/>
  <c r="N14"/>
  <c r="K14"/>
  <c r="J14"/>
  <c r="I14"/>
  <c r="H14"/>
  <c r="G14"/>
  <c r="F14"/>
  <c r="E13"/>
  <c r="S12"/>
  <c r="R12"/>
  <c r="Q12"/>
  <c r="P12"/>
  <c r="O12"/>
  <c r="N12"/>
  <c r="K12"/>
  <c r="J12"/>
  <c r="I12"/>
  <c r="H12"/>
  <c r="G12"/>
  <c r="F12"/>
  <c r="S11"/>
  <c r="R11"/>
  <c r="Q11"/>
  <c r="P11"/>
  <c r="O11"/>
  <c r="N11"/>
  <c r="K11"/>
  <c r="J11"/>
  <c r="I11"/>
  <c r="H11"/>
  <c r="G11"/>
  <c r="F11"/>
  <c r="Y339" i="5" l="1"/>
  <c r="Z339" s="1"/>
  <c r="Y337"/>
  <c r="Z337" s="1"/>
  <c r="Y335"/>
  <c r="Z335" s="1"/>
  <c r="Y333"/>
  <c r="Z333" s="1"/>
  <c r="Y331"/>
  <c r="Z331" s="1"/>
  <c r="Y327"/>
  <c r="Z327" s="1"/>
  <c r="Y325"/>
  <c r="Z325" s="1"/>
  <c r="Z319" s="1"/>
  <c r="Y319"/>
  <c r="X319"/>
  <c r="W319"/>
  <c r="V319"/>
  <c r="U319"/>
  <c r="T319"/>
  <c r="S318"/>
  <c r="R318"/>
  <c r="Q318"/>
  <c r="P318"/>
  <c r="O318"/>
  <c r="N318"/>
  <c r="M318"/>
  <c r="Z315"/>
  <c r="Y315"/>
  <c r="Y313" s="1"/>
  <c r="Y261" s="1"/>
  <c r="Y259" s="1"/>
  <c r="X315"/>
  <c r="W315"/>
  <c r="W313" s="1"/>
  <c r="W261" s="1"/>
  <c r="V315"/>
  <c r="Z313"/>
  <c r="X313"/>
  <c r="V313"/>
  <c r="U313"/>
  <c r="T313"/>
  <c r="S312"/>
  <c r="R312"/>
  <c r="Q312"/>
  <c r="P312"/>
  <c r="O312"/>
  <c r="N312"/>
  <c r="V304"/>
  <c r="Y296"/>
  <c r="Z296" s="1"/>
  <c r="Z293" s="1"/>
  <c r="Y293"/>
  <c r="X293"/>
  <c r="W293"/>
  <c r="V293"/>
  <c r="U293"/>
  <c r="T293"/>
  <c r="S292"/>
  <c r="R292"/>
  <c r="Q292"/>
  <c r="P292"/>
  <c r="O292"/>
  <c r="N292"/>
  <c r="Y289"/>
  <c r="Z289" s="1"/>
  <c r="Y287"/>
  <c r="Z287" s="1"/>
  <c r="V286"/>
  <c r="V284"/>
  <c r="Y283"/>
  <c r="Z283" s="1"/>
  <c r="Z281" s="1"/>
  <c r="V283"/>
  <c r="N282"/>
  <c r="Y281"/>
  <c r="X281"/>
  <c r="W281"/>
  <c r="V281"/>
  <c r="U281"/>
  <c r="T281"/>
  <c r="S280"/>
  <c r="R280"/>
  <c r="Q280"/>
  <c r="P280"/>
  <c r="O280"/>
  <c r="N280"/>
  <c r="Z276"/>
  <c r="Y276"/>
  <c r="V276"/>
  <c r="Z271"/>
  <c r="Y271"/>
  <c r="X271"/>
  <c r="W271"/>
  <c r="V271"/>
  <c r="U271"/>
  <c r="T271"/>
  <c r="S271"/>
  <c r="R271"/>
  <c r="Q271"/>
  <c r="P271"/>
  <c r="O271"/>
  <c r="N271"/>
  <c r="M271"/>
  <c r="Y269"/>
  <c r="Z269" s="1"/>
  <c r="V269"/>
  <c r="Y267"/>
  <c r="Z267" s="1"/>
  <c r="V267"/>
  <c r="Y265"/>
  <c r="X265"/>
  <c r="W265"/>
  <c r="V265"/>
  <c r="U265"/>
  <c r="T265"/>
  <c r="S264"/>
  <c r="R264"/>
  <c r="Q264"/>
  <c r="P264"/>
  <c r="O264"/>
  <c r="N264"/>
  <c r="M264"/>
  <c r="Z263"/>
  <c r="Y263"/>
  <c r="X263"/>
  <c r="W263"/>
  <c r="V263"/>
  <c r="U263"/>
  <c r="T263"/>
  <c r="S262"/>
  <c r="R262"/>
  <c r="Q262"/>
  <c r="P262"/>
  <c r="O262"/>
  <c r="N262"/>
  <c r="M262"/>
  <c r="X261"/>
  <c r="V261"/>
  <c r="U261"/>
  <c r="T261"/>
  <c r="S260"/>
  <c r="R260"/>
  <c r="Q260"/>
  <c r="P260"/>
  <c r="O260"/>
  <c r="N260"/>
  <c r="M260"/>
  <c r="X259"/>
  <c r="V259"/>
  <c r="U259"/>
  <c r="T259"/>
  <c r="S258"/>
  <c r="R258"/>
  <c r="Q258"/>
  <c r="P258"/>
  <c r="O258"/>
  <c r="N258"/>
  <c r="M258"/>
  <c r="Z256"/>
  <c r="Y256"/>
  <c r="Y249"/>
  <c r="Z249" s="1"/>
  <c r="Z238" s="1"/>
  <c r="Z236" s="1"/>
  <c r="S247"/>
  <c r="M240"/>
  <c r="Z239"/>
  <c r="Y239"/>
  <c r="X239"/>
  <c r="W239"/>
  <c r="V239"/>
  <c r="U239"/>
  <c r="T239"/>
  <c r="Y238"/>
  <c r="X238"/>
  <c r="W238"/>
  <c r="V238"/>
  <c r="U238"/>
  <c r="T238"/>
  <c r="S237"/>
  <c r="R237"/>
  <c r="Q237"/>
  <c r="P237"/>
  <c r="O237"/>
  <c r="N237"/>
  <c r="M237"/>
  <c r="Y236"/>
  <c r="X236"/>
  <c r="W236"/>
  <c r="V236"/>
  <c r="U236"/>
  <c r="T236"/>
  <c r="S235"/>
  <c r="R235"/>
  <c r="Q235"/>
  <c r="P235"/>
  <c r="O235"/>
  <c r="N235"/>
  <c r="M235"/>
  <c r="Z221"/>
  <c r="Y221"/>
  <c r="X221"/>
  <c r="W221"/>
  <c r="V221"/>
  <c r="U221"/>
  <c r="T221"/>
  <c r="S220"/>
  <c r="R220"/>
  <c r="Q220"/>
  <c r="P220"/>
  <c r="O220"/>
  <c r="N220"/>
  <c r="M220"/>
  <c r="U215"/>
  <c r="T215"/>
  <c r="S215"/>
  <c r="R215"/>
  <c r="Q215"/>
  <c r="P215"/>
  <c r="O215"/>
  <c r="N215"/>
  <c r="M215"/>
  <c r="Z214"/>
  <c r="Y214"/>
  <c r="X214"/>
  <c r="W214"/>
  <c r="V214"/>
  <c r="U214"/>
  <c r="Z213"/>
  <c r="Y213"/>
  <c r="X213"/>
  <c r="W213"/>
  <c r="V213"/>
  <c r="U213"/>
  <c r="T213"/>
  <c r="S212"/>
  <c r="R212"/>
  <c r="Q212"/>
  <c r="P212"/>
  <c r="O212"/>
  <c r="N212"/>
  <c r="M212"/>
  <c r="Z211"/>
  <c r="Y211"/>
  <c r="X211"/>
  <c r="W211"/>
  <c r="V211"/>
  <c r="U211"/>
  <c r="T211"/>
  <c r="R210"/>
  <c r="Q210"/>
  <c r="P210"/>
  <c r="O210"/>
  <c r="N210"/>
  <c r="M210"/>
  <c r="Z209"/>
  <c r="Y209"/>
  <c r="X209"/>
  <c r="W209"/>
  <c r="V209"/>
  <c r="U209"/>
  <c r="T209"/>
  <c r="S209"/>
  <c r="R209"/>
  <c r="Q209"/>
  <c r="P209"/>
  <c r="O209"/>
  <c r="N209"/>
  <c r="M209"/>
  <c r="Z208"/>
  <c r="Y208"/>
  <c r="X208"/>
  <c r="W208"/>
  <c r="V208"/>
  <c r="U208"/>
  <c r="T208"/>
  <c r="S208"/>
  <c r="R208"/>
  <c r="Q208"/>
  <c r="P208"/>
  <c r="O208"/>
  <c r="N208"/>
  <c r="M208"/>
  <c r="V196"/>
  <c r="Z195"/>
  <c r="Y195"/>
  <c r="V195"/>
  <c r="T192"/>
  <c r="U191"/>
  <c r="Z190"/>
  <c r="Y190"/>
  <c r="X190"/>
  <c r="W190"/>
  <c r="V190"/>
  <c r="U190"/>
  <c r="T190"/>
  <c r="S189"/>
  <c r="R189"/>
  <c r="Q189"/>
  <c r="O189"/>
  <c r="N189"/>
  <c r="Z188"/>
  <c r="Y188"/>
  <c r="X188"/>
  <c r="W188"/>
  <c r="V188"/>
  <c r="U188"/>
  <c r="T188"/>
  <c r="S187"/>
  <c r="R187"/>
  <c r="Q187"/>
  <c r="P187"/>
  <c r="O187"/>
  <c r="N187"/>
  <c r="Z186"/>
  <c r="Y186"/>
  <c r="Z184"/>
  <c r="Y184"/>
  <c r="X184"/>
  <c r="W184"/>
  <c r="V184"/>
  <c r="U184"/>
  <c r="T184"/>
  <c r="S183"/>
  <c r="R183"/>
  <c r="Q183"/>
  <c r="P183"/>
  <c r="O183"/>
  <c r="N183"/>
  <c r="Y178"/>
  <c r="Z178" s="1"/>
  <c r="Z173" s="1"/>
  <c r="Z171" s="1"/>
  <c r="U178"/>
  <c r="T178"/>
  <c r="Z176"/>
  <c r="Y176"/>
  <c r="X176"/>
  <c r="W176"/>
  <c r="V176"/>
  <c r="U176"/>
  <c r="T176"/>
  <c r="Z175"/>
  <c r="Y175"/>
  <c r="X175"/>
  <c r="W175"/>
  <c r="V175"/>
  <c r="U175"/>
  <c r="T175"/>
  <c r="S174"/>
  <c r="R174"/>
  <c r="Q174"/>
  <c r="P174"/>
  <c r="O174"/>
  <c r="N174"/>
  <c r="M174"/>
  <c r="Y173"/>
  <c r="X173"/>
  <c r="W173"/>
  <c r="V173"/>
  <c r="U173"/>
  <c r="T173"/>
  <c r="S172"/>
  <c r="R172"/>
  <c r="Q172"/>
  <c r="P172"/>
  <c r="O172"/>
  <c r="N172"/>
  <c r="M172"/>
  <c r="Y171"/>
  <c r="X171"/>
  <c r="W171"/>
  <c r="V171"/>
  <c r="U171"/>
  <c r="T171"/>
  <c r="S171"/>
  <c r="R171"/>
  <c r="Q171"/>
  <c r="P171"/>
  <c r="O171"/>
  <c r="N171"/>
  <c r="M171"/>
  <c r="Z164"/>
  <c r="Y164"/>
  <c r="V164"/>
  <c r="U163"/>
  <c r="Y155"/>
  <c r="Z155" s="1"/>
  <c r="Z141" s="1"/>
  <c r="U153"/>
  <c r="Z142"/>
  <c r="Y142"/>
  <c r="X142"/>
  <c r="W142"/>
  <c r="V142"/>
  <c r="U142"/>
  <c r="T142"/>
  <c r="S142"/>
  <c r="R142"/>
  <c r="Y141"/>
  <c r="X141"/>
  <c r="W141"/>
  <c r="V141"/>
  <c r="U141"/>
  <c r="T141"/>
  <c r="S140"/>
  <c r="R140"/>
  <c r="P139"/>
  <c r="P138" s="1"/>
  <c r="P61" s="1"/>
  <c r="Z137"/>
  <c r="Z131" s="1"/>
  <c r="Y137"/>
  <c r="Z135"/>
  <c r="Y135"/>
  <c r="Z133"/>
  <c r="Y133"/>
  <c r="Q132"/>
  <c r="Y131"/>
  <c r="X131"/>
  <c r="W131"/>
  <c r="V131"/>
  <c r="U131"/>
  <c r="T131"/>
  <c r="S130"/>
  <c r="R130"/>
  <c r="Q130"/>
  <c r="P130"/>
  <c r="O130"/>
  <c r="N130"/>
  <c r="M130"/>
  <c r="Y129"/>
  <c r="Z129" s="1"/>
  <c r="W121"/>
  <c r="X121" s="1"/>
  <c r="X106" s="1"/>
  <c r="X62" s="1"/>
  <c r="Y116"/>
  <c r="Z116" s="1"/>
  <c r="V116"/>
  <c r="Z114"/>
  <c r="Y114"/>
  <c r="V113"/>
  <c r="Y112"/>
  <c r="Z112" s="1"/>
  <c r="V112"/>
  <c r="W106"/>
  <c r="V106"/>
  <c r="U106"/>
  <c r="T106"/>
  <c r="S106"/>
  <c r="R106"/>
  <c r="Q106"/>
  <c r="P106"/>
  <c r="O106"/>
  <c r="N106"/>
  <c r="M106"/>
  <c r="V105"/>
  <c r="V102"/>
  <c r="V87"/>
  <c r="Y85"/>
  <c r="Z85" s="1"/>
  <c r="Z82" s="1"/>
  <c r="V85"/>
  <c r="X82"/>
  <c r="W82"/>
  <c r="V82"/>
  <c r="U82"/>
  <c r="T82"/>
  <c r="S81"/>
  <c r="R81"/>
  <c r="Q81"/>
  <c r="P81"/>
  <c r="O81"/>
  <c r="N81"/>
  <c r="N80"/>
  <c r="Z79"/>
  <c r="Y79"/>
  <c r="X79"/>
  <c r="W79"/>
  <c r="V79"/>
  <c r="U79"/>
  <c r="T79"/>
  <c r="S79"/>
  <c r="R79"/>
  <c r="Q79"/>
  <c r="P79"/>
  <c r="O79"/>
  <c r="N79"/>
  <c r="M79"/>
  <c r="V73"/>
  <c r="Y71"/>
  <c r="Z71" s="1"/>
  <c r="V71"/>
  <c r="Y69"/>
  <c r="Z69" s="1"/>
  <c r="Y67"/>
  <c r="Z67" s="1"/>
  <c r="V67"/>
  <c r="X65"/>
  <c r="W65"/>
  <c r="V65"/>
  <c r="U65"/>
  <c r="T65"/>
  <c r="S64"/>
  <c r="R64"/>
  <c r="Q64"/>
  <c r="P64"/>
  <c r="O64"/>
  <c r="N64"/>
  <c r="M64"/>
  <c r="Z63"/>
  <c r="Y63"/>
  <c r="X63"/>
  <c r="W63"/>
  <c r="V63"/>
  <c r="U63"/>
  <c r="T63"/>
  <c r="S63"/>
  <c r="R63"/>
  <c r="Q63"/>
  <c r="W62"/>
  <c r="V62"/>
  <c r="U62"/>
  <c r="T62"/>
  <c r="S61"/>
  <c r="R61"/>
  <c r="Q61"/>
  <c r="O61"/>
  <c r="N61"/>
  <c r="M61"/>
  <c r="W60"/>
  <c r="V60"/>
  <c r="U60"/>
  <c r="T60"/>
  <c r="S60"/>
  <c r="R60"/>
  <c r="Q60"/>
  <c r="O60"/>
  <c r="N60"/>
  <c r="M60"/>
  <c r="N56"/>
  <c r="P52"/>
  <c r="Y47"/>
  <c r="Z47" s="1"/>
  <c r="Z42" s="1"/>
  <c r="V46"/>
  <c r="V45"/>
  <c r="Y42"/>
  <c r="X42"/>
  <c r="W42"/>
  <c r="V42"/>
  <c r="U42"/>
  <c r="T42"/>
  <c r="S42"/>
  <c r="R42"/>
  <c r="Q42"/>
  <c r="P42"/>
  <c r="O42"/>
  <c r="N42"/>
  <c r="Y31"/>
  <c r="Z31" s="1"/>
  <c r="V31"/>
  <c r="Y29"/>
  <c r="Z29" s="1"/>
  <c r="Z27" s="1"/>
  <c r="V29"/>
  <c r="Y27"/>
  <c r="X27"/>
  <c r="W27"/>
  <c r="V27"/>
  <c r="U27"/>
  <c r="T27"/>
  <c r="S26"/>
  <c r="R26"/>
  <c r="Q26"/>
  <c r="P26"/>
  <c r="O26"/>
  <c r="N26"/>
  <c r="M26"/>
  <c r="Y25"/>
  <c r="X25"/>
  <c r="W25"/>
  <c r="V25"/>
  <c r="U25"/>
  <c r="T25"/>
  <c r="S25"/>
  <c r="R25"/>
  <c r="Q25"/>
  <c r="P25"/>
  <c r="O25"/>
  <c r="N25"/>
  <c r="M25"/>
  <c r="Z24"/>
  <c r="Y24"/>
  <c r="X24"/>
  <c r="W24"/>
  <c r="V24"/>
  <c r="U24"/>
  <c r="T24"/>
  <c r="S23"/>
  <c r="R23"/>
  <c r="Q23"/>
  <c r="Y22"/>
  <c r="X22"/>
  <c r="W22"/>
  <c r="V22"/>
  <c r="U22"/>
  <c r="T22"/>
  <c r="S21"/>
  <c r="R21"/>
  <c r="Q21"/>
  <c r="P21"/>
  <c r="O21"/>
  <c r="N21"/>
  <c r="M21"/>
  <c r="Y20"/>
  <c r="X20"/>
  <c r="W20"/>
  <c r="V20"/>
  <c r="U20"/>
  <c r="T20"/>
  <c r="S20"/>
  <c r="R20"/>
  <c r="Q20"/>
  <c r="P20"/>
  <c r="O20"/>
  <c r="N20"/>
  <c r="M20"/>
  <c r="Z19"/>
  <c r="Y19"/>
  <c r="X19"/>
  <c r="W19"/>
  <c r="V19"/>
  <c r="U19"/>
  <c r="T19"/>
  <c r="Z18"/>
  <c r="Y18"/>
  <c r="X18"/>
  <c r="W18"/>
  <c r="V18"/>
  <c r="U18"/>
  <c r="T18"/>
  <c r="S17"/>
  <c r="R17"/>
  <c r="Q17"/>
  <c r="P17"/>
  <c r="O17"/>
  <c r="N17"/>
  <c r="M17"/>
  <c r="Z16"/>
  <c r="Y16"/>
  <c r="X16"/>
  <c r="W16"/>
  <c r="V16"/>
  <c r="U16"/>
  <c r="T16"/>
  <c r="S16"/>
  <c r="R16"/>
  <c r="Q16"/>
  <c r="P16"/>
  <c r="O16"/>
  <c r="N16"/>
  <c r="M16"/>
  <c r="Z15"/>
  <c r="Y15"/>
  <c r="X15"/>
  <c r="W15"/>
  <c r="V15"/>
  <c r="U15"/>
  <c r="T15"/>
  <c r="S14"/>
  <c r="R14"/>
  <c r="Q14"/>
  <c r="P14"/>
  <c r="O14"/>
  <c r="N14"/>
  <c r="M14"/>
  <c r="V13"/>
  <c r="U13"/>
  <c r="T13"/>
  <c r="S12"/>
  <c r="R12"/>
  <c r="Q12"/>
  <c r="O12"/>
  <c r="N12"/>
  <c r="M12"/>
  <c r="V11"/>
  <c r="U11"/>
  <c r="T11"/>
  <c r="S11"/>
  <c r="R11"/>
  <c r="Q11"/>
  <c r="O11"/>
  <c r="N11"/>
  <c r="M11"/>
  <c r="O58" i="4"/>
  <c r="N58"/>
  <c r="M58"/>
  <c r="V55"/>
  <c r="U55"/>
  <c r="T55"/>
  <c r="S55"/>
  <c r="R55"/>
  <c r="Q55"/>
  <c r="P55"/>
  <c r="O53"/>
  <c r="N53"/>
  <c r="M53"/>
  <c r="V48"/>
  <c r="U48"/>
  <c r="T48"/>
  <c r="S48"/>
  <c r="R48"/>
  <c r="Q48"/>
  <c r="P48"/>
  <c r="O46"/>
  <c r="N46"/>
  <c r="M46"/>
  <c r="V42"/>
  <c r="U42"/>
  <c r="T42"/>
  <c r="S42"/>
  <c r="R42"/>
  <c r="Q42"/>
  <c r="P42"/>
  <c r="O40"/>
  <c r="N40"/>
  <c r="M40"/>
  <c r="O32"/>
  <c r="N32"/>
  <c r="M32"/>
  <c r="O28"/>
  <c r="N28"/>
  <c r="M28"/>
  <c r="O24"/>
  <c r="N24"/>
  <c r="M24"/>
  <c r="K23"/>
  <c r="J23"/>
  <c r="O20"/>
  <c r="N20"/>
  <c r="M20"/>
  <c r="K19"/>
  <c r="J19"/>
  <c r="V15"/>
  <c r="U15"/>
  <c r="T15"/>
  <c r="S15"/>
  <c r="Q15"/>
  <c r="P15"/>
  <c r="O13"/>
  <c r="N13"/>
  <c r="M13"/>
  <c r="Z25" i="5" l="1"/>
  <c r="Z22"/>
  <c r="Z106"/>
  <c r="W259"/>
  <c r="W13"/>
  <c r="W11" s="1"/>
  <c r="Z65"/>
  <c r="Z62" s="1"/>
  <c r="Z60" s="1"/>
  <c r="X60"/>
  <c r="X13"/>
  <c r="X11" s="1"/>
  <c r="P60"/>
  <c r="P12"/>
  <c r="P11" s="1"/>
  <c r="Z265"/>
  <c r="Z261" s="1"/>
  <c r="Z259" s="1"/>
  <c r="Y65"/>
  <c r="Y82"/>
  <c r="Y106"/>
  <c r="Z66" i="6"/>
  <c r="Y66"/>
  <c r="X66"/>
  <c r="W66"/>
  <c r="V66"/>
  <c r="U66"/>
  <c r="T66"/>
  <c r="U65"/>
  <c r="AD57"/>
  <c r="AC57"/>
  <c r="Z57"/>
  <c r="Y57"/>
  <c r="X57"/>
  <c r="W57"/>
  <c r="V57"/>
  <c r="U57"/>
  <c r="T57"/>
  <c r="Z48"/>
  <c r="Y48"/>
  <c r="X48"/>
  <c r="X10" s="1"/>
  <c r="W48"/>
  <c r="V48"/>
  <c r="V10" s="1"/>
  <c r="U48"/>
  <c r="T48"/>
  <c r="Z39"/>
  <c r="Y39"/>
  <c r="X39"/>
  <c r="W39"/>
  <c r="V39"/>
  <c r="U39"/>
  <c r="T39"/>
  <c r="Z30"/>
  <c r="Y30"/>
  <c r="X30"/>
  <c r="W30"/>
  <c r="V30"/>
  <c r="U30"/>
  <c r="T30"/>
  <c r="T24"/>
  <c r="Z21"/>
  <c r="Y21"/>
  <c r="X21"/>
  <c r="W21"/>
  <c r="V21"/>
  <c r="U21"/>
  <c r="Z12"/>
  <c r="Y12"/>
  <c r="X12"/>
  <c r="W12"/>
  <c r="V12"/>
  <c r="U12"/>
  <c r="T12"/>
  <c r="Z10"/>
  <c r="W10"/>
  <c r="T10"/>
  <c r="AF311" i="5"/>
  <c r="AE311"/>
  <c r="AA309"/>
  <c r="AC308"/>
  <c r="AA308"/>
  <c r="AF307"/>
  <c r="AE307"/>
  <c r="AC307"/>
  <c r="AA307"/>
  <c r="AB307" s="1"/>
  <c r="AF306"/>
  <c r="AE306"/>
  <c r="AC306"/>
  <c r="AA306"/>
  <c r="AF305"/>
  <c r="AE305"/>
  <c r="AA289"/>
  <c r="AB253"/>
  <c r="T68" i="6"/>
  <c r="Y68"/>
  <c r="AA248" i="5"/>
  <c r="U68" i="6"/>
  <c r="L68" s="1"/>
  <c r="AC245" i="5"/>
  <c r="W68" i="6"/>
  <c r="AB222" i="5"/>
  <c r="AB194"/>
  <c r="AB158"/>
  <c r="AA159"/>
  <c r="AA161"/>
  <c r="AC158"/>
  <c r="AC103"/>
  <c r="AC63"/>
  <c r="AB63"/>
  <c r="AB62"/>
  <c r="AB61" s="1"/>
  <c r="AB57"/>
  <c r="AB20"/>
  <c r="AD12" s="1"/>
  <c r="AC14"/>
  <c r="X35" i="4"/>
  <c r="AD20"/>
  <c r="AC20"/>
  <c r="AC34"/>
  <c r="AB20"/>
  <c r="AA20"/>
  <c r="Z20"/>
  <c r="Y20"/>
  <c r="Y35"/>
  <c r="AD19"/>
  <c r="AD26" s="1"/>
  <c r="AC19"/>
  <c r="AB19"/>
  <c r="AB34" s="1"/>
  <c r="AB35" s="1"/>
  <c r="AA19"/>
  <c r="AA22" s="1"/>
  <c r="Z19"/>
  <c r="Y19"/>
  <c r="X19"/>
  <c r="W19"/>
  <c r="AD18"/>
  <c r="AC18"/>
  <c r="AB18"/>
  <c r="AA18"/>
  <c r="Z18"/>
  <c r="E20" i="3"/>
  <c r="X68" i="6"/>
  <c r="X40"/>
  <c r="W49"/>
  <c r="X58"/>
  <c r="Z58"/>
  <c r="AD58"/>
  <c r="V31"/>
  <c r="X31"/>
  <c r="X49"/>
  <c r="W58"/>
  <c r="Y58"/>
  <c r="AC58"/>
  <c r="AC155" i="5"/>
  <c r="AB22" i="4"/>
  <c r="AB30"/>
  <c r="AA30"/>
  <c r="AC30"/>
  <c r="AB13" i="5"/>
  <c r="AA250"/>
  <c r="AB26" i="4"/>
  <c r="AB311" i="5"/>
  <c r="U22" i="6"/>
  <c r="W67"/>
  <c r="AA225" i="5"/>
  <c r="X22" i="6"/>
  <c r="Z22"/>
  <c r="U58"/>
  <c r="Y67"/>
  <c r="X67"/>
  <c r="Z49"/>
  <c r="X9"/>
  <c r="W22"/>
  <c r="X13"/>
  <c r="V68"/>
  <c r="M68" s="1"/>
  <c r="AB245" i="5"/>
  <c r="V40" i="6"/>
  <c r="T40"/>
  <c r="E68" l="1"/>
  <c r="L66"/>
  <c r="L14"/>
  <c r="M14"/>
  <c r="M12" s="1"/>
  <c r="M11" s="1"/>
  <c r="M66"/>
  <c r="M65" s="1"/>
  <c r="Z40"/>
  <c r="Y62" i="5"/>
  <c r="Z13"/>
  <c r="Z11" s="1"/>
  <c r="Z20"/>
  <c r="W40" i="6"/>
  <c r="AA34" i="4"/>
  <c r="V58" i="6"/>
  <c r="AD22" i="4"/>
  <c r="AD34"/>
  <c r="AB58" i="5"/>
  <c r="AB15"/>
  <c r="AC13" s="1"/>
  <c r="T31" i="6"/>
  <c r="T58"/>
  <c r="AD9" i="5"/>
  <c r="T59" i="6"/>
  <c r="AA195" i="5"/>
  <c r="AA26" i="4"/>
  <c r="AA35" s="1"/>
  <c r="AD30"/>
  <c r="AE9" i="5"/>
  <c r="AC22" i="4"/>
  <c r="AC26"/>
  <c r="AC35" s="1"/>
  <c r="Z34"/>
  <c r="Z22"/>
  <c r="Z26"/>
  <c r="Z30"/>
  <c r="AF9" i="5"/>
  <c r="AC17"/>
  <c r="Z68" i="6"/>
  <c r="U24"/>
  <c r="U10"/>
  <c r="Y10"/>
  <c r="E66" l="1"/>
  <c r="L65"/>
  <c r="E65" s="1"/>
  <c r="U67"/>
  <c r="E14"/>
  <c r="L12"/>
  <c r="V67"/>
  <c r="Y31"/>
  <c r="Y60" i="5"/>
  <c r="Y13"/>
  <c r="Y11" s="1"/>
  <c r="AB68" i="6"/>
  <c r="AB67" s="1"/>
  <c r="AB66"/>
  <c r="Z67"/>
  <c r="W31"/>
  <c r="Y49"/>
  <c r="Z9"/>
  <c r="Z13"/>
  <c r="AB248" i="5"/>
  <c r="AC248" s="1"/>
  <c r="AC58"/>
  <c r="W9" i="6"/>
  <c r="W13"/>
  <c r="U31"/>
  <c r="V22"/>
  <c r="Y22"/>
  <c r="Z35" i="4"/>
  <c r="AA10" i="5"/>
  <c r="Y40" i="6"/>
  <c r="Z31"/>
  <c r="V49"/>
  <c r="U40"/>
  <c r="AC11" i="5"/>
  <c r="AC12"/>
  <c r="AE12"/>
  <c r="E12" i="6" l="1"/>
  <c r="L11"/>
  <c r="E11" s="1"/>
  <c r="Y13"/>
  <c r="Y9"/>
  <c r="U49"/>
  <c r="AA66"/>
  <c r="AA68"/>
  <c r="AA67" s="1"/>
  <c r="T49"/>
  <c r="T22"/>
  <c r="V13"/>
  <c r="V9"/>
  <c r="T67"/>
  <c r="U9" l="1"/>
  <c r="U13"/>
  <c r="T9"/>
  <c r="T13"/>
</calcChain>
</file>

<file path=xl/sharedStrings.xml><?xml version="1.0" encoding="utf-8"?>
<sst xmlns="http://schemas.openxmlformats.org/spreadsheetml/2006/main" count="4753" uniqueCount="989">
  <si>
    <t>Обеспечение комплекса мер по внедрению единых (групповых) значений нормативных затрат с использованием корректирующих показателей для расчета субсидий на оказание муниципальных услуг по предоставлению  образования</t>
  </si>
  <si>
    <t>Уплата налога (на имущество, на землю).</t>
  </si>
  <si>
    <t>Выполнение Управлением образования обязательств по уплате налога на имущество организаций и земельного налога</t>
  </si>
  <si>
    <t>13</t>
  </si>
  <si>
    <t>Проведение мероприятий по обеспечению безопасности</t>
  </si>
  <si>
    <t>Проведение мероприятий по первичной пожарной безопасности</t>
  </si>
  <si>
    <t>Создание условий для обеспечения первичной пожарной безопасности обучающихся и  воспитанников</t>
  </si>
  <si>
    <t>Проведение мероприятий по антитеррористической  и дорожной безопасности. Расходы на мероприятия по безопасности образовательных учреждений, в том числе видеонаблюдение</t>
  </si>
  <si>
    <t>Создание необходимых условий для укрепления и повышения комплексной безопасности (пожарной, дорожной и  антитеррористической и др. безопасности) образовательных учреждений</t>
  </si>
  <si>
    <t>Специальная оценка условий труда и приведение их в соотвествие с установленными требованиями</t>
  </si>
  <si>
    <t>Приведение условий труда в соответствие с установленными требованиями</t>
  </si>
  <si>
    <t xml:space="preserve">Подготовка учреждений к новому учебному году, отопительному сезону. Расходы учреждений образования на подготовку к отопительноау сезону, новому учебному году и выполнению требований по лицензированию. Строительство объектов общегражданского назначения. Мероприятия по проведению капитального ремонта объектов муниципальной собственности, включенных в "Перечень объектов капитального ремонта, финансируемых из бюджета Удмуртской Республики", утвержденный Правительством Удмуртской Республики. </t>
  </si>
  <si>
    <t xml:space="preserve">Приведение образовательных учреждений в соответствие с установленными требованиями. Улучшение инфраструктуры образования. </t>
  </si>
  <si>
    <t>Осуществление мероприятий по исполнению предписаний надзорных органов</t>
  </si>
  <si>
    <t>Исполнение предписаний надзорных органов</t>
  </si>
  <si>
    <t>Внедрение энергоменеджмента (по решению МОиН УР). Проведение мониторинга энергоэффективности и подведомственных ему организаций по вопросам энергосбережения и повышения энергетической эффективности (по решению МОиН УР).</t>
  </si>
  <si>
    <t>Повышение энергетической эффективности</t>
  </si>
  <si>
    <t>Проведение мероприятий по обеспечению санитарно-эпидемиологического благополучия образовательных учреждений</t>
  </si>
  <si>
    <t>Создание необходимых условий для обеспечения санитарно-эпидемиологического благополучия образовательных учреждений</t>
  </si>
  <si>
    <t>14</t>
  </si>
  <si>
    <t xml:space="preserve">Социальная поддержка педагогических работников </t>
  </si>
  <si>
    <t xml:space="preserve">Денежная компенсация расходов по оплате жилых помещений и коммунальных услуг (отопление, освещение) педагогогическим работникам образования, проживающим и работающим в сельских населенных пунктах.                                                              </t>
  </si>
  <si>
    <t>Социальная поддержка педагогических работников в виде компенсации по оплате жилых помещений и коммунальных услуг (отопление, освещение) педагогогическим работникам образования, проживающим и работающим в сельских населенных пунктах.</t>
  </si>
  <si>
    <t>15</t>
  </si>
  <si>
    <t>Материальная поддержка семей с детьми дошкольного возраста. Участие в реализации регионального проекта "Поддержка семей, имеющих детей".</t>
  </si>
  <si>
    <t>Создание условий для раннего развития детей в возрасте до 3 лет , реализация программы психолого-педагогической, методической и консультативной помощи родителям детей, получающих дошкольное образование детей</t>
  </si>
  <si>
    <t>Компенсация части родительской платы, взимаемой с родителей (законных представителей) за присмотр и уход за детьми в образовательных учреждениях на территории Кезского района, реализующих образовательную программу дошкольного образования.</t>
  </si>
  <si>
    <t>Повышение доступности и увеличение охвата
детей в возрасте от 1,5 до 7 лет дошкольным
образования</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</si>
  <si>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1 и 2 группы и не имеют других доходов, кроме пенсии, от оплаты за присмотр и уход за детьми в муниципальных образовательных учреждениях на территории Кезского района, реализующих образовательную программу дошкольного образования.</t>
  </si>
  <si>
    <t>Социальная поддержка семей, где оба или один
из родителей являются инвалидами первой или
второй группы и не имеют других доходов,
кроме пенсии</t>
  </si>
  <si>
    <t>Расходы по присмотру и уходу за детьми- инвалидами, детьми- сиротами и детьми, оставшимися без попечения родителей, а также за детьми с туберкулезной интоксикацией, обучающимися в муниципальных образовательных учреждениях на территории Кезского района, реализующих образовательную программу дошкольного образования.</t>
  </si>
  <si>
    <t>Социальная поддержка семей с детьми-
инвалидами,детьми-сиротамии детьми,
оставшимися без попечения родителей, а также
за детьми с туберкулезной интоксикацией</t>
  </si>
  <si>
    <t>Расходы по предоставлению 50-ти процентной скидки многодетным семьям  от установленной платы за присмотр и уход за ребенком в образовательной учреждении, реализующем программу дошкольного образования.</t>
  </si>
  <si>
    <t>Социальная поддержка многодетных семей  за присмотр и уход за ребенком в образовательной учреждении, реализующем программу дошкольного образования</t>
  </si>
  <si>
    <t>Софинансирование государственных программ, инвестиций, капитальных вложений. Повышение инвестиционной привлекательности отрасли и создание условий для привлечения инвестиций.</t>
  </si>
  <si>
    <t>Обеспечение софинансирования государственных программ, инвестиций, капитальных вложений. Увеличение объема привлеченных инвестиций для решения задач сферы образования</t>
  </si>
  <si>
    <t>Привлечение  средств для развития образовательных организаций МО "Муниципальный округ Кезский район Удмуртской Республики" (через дополнительные образовательные платные услуги, спонсорскую помощь, добровольные пожертвования).</t>
  </si>
  <si>
    <t>развитие учреждений (в том числе материально-техническое обеспечение)</t>
  </si>
  <si>
    <t>Расходы на реализацию мероприятий Программы на 2015-2024 годы</t>
  </si>
  <si>
    <t>привлечение средств на реализацию программы</t>
  </si>
  <si>
    <t>Приложение 3</t>
  </si>
  <si>
    <t>Финансовая оценка применения мер муниципального регулирования</t>
  </si>
  <si>
    <t>Наименование меры                                        муниципального регулирования</t>
  </si>
  <si>
    <t>Показатель применения меры</t>
  </si>
  <si>
    <t>Финансовая оценка результата, тыс. руб.</t>
  </si>
  <si>
    <t xml:space="preserve">Краткое обоснование необходимости применения меры </t>
  </si>
  <si>
    <t>Освобождение от уплаты земельного налога муниципальных учреждений МО "Муниципальный округ Кезский район Удмуртской Республики"(в части дошкольных образовательных организаций)</t>
  </si>
  <si>
    <t>Объем предоставленной налоговой льготы</t>
  </si>
  <si>
    <t xml:space="preserve">Исключение встречных финансовых потоков: средства на уплату земельного налога не учитываются при расчете объема субсидии на выполнение муниципального задания </t>
  </si>
  <si>
    <t>Освобождение от уплаты земельного налога муниципальных учреждений муниципального образования "Муниципальный округ Кезский район Удмуртской Республики" (в части учреждений общего образования, всего 16 учреждений)</t>
  </si>
  <si>
    <t>Освобождение от уплаты земельного налога муниципальных учреждений Кезского района (в части учреждений дополнительного образования детей)</t>
  </si>
  <si>
    <t>Создание условий для реализации целевой программы</t>
  </si>
  <si>
    <t>Освобождение от уплаты земельного налога муниципальных учреждений образования Кезского района</t>
  </si>
  <si>
    <t>Исключение встречных финансовых потоков: средства на уплату земельного налога не учитываются при расчете объема субсидии на выполнение муниципального задания на оказание муниципальных услуг</t>
  </si>
  <si>
    <t>Приложение 4</t>
  </si>
  <si>
    <t>Муниципальное задание 611</t>
  </si>
  <si>
    <t xml:space="preserve">Прогноз сводных показателей муниципальных заданий на оказание муниципальных услуг (выполнение работ) </t>
  </si>
  <si>
    <t>ГРБС</t>
  </si>
  <si>
    <t>Наименование муниципальной услуги (работы)</t>
  </si>
  <si>
    <t>Наименование показателя</t>
  </si>
  <si>
    <t xml:space="preserve">Единица измерения </t>
  </si>
  <si>
    <t>2020 год</t>
  </si>
  <si>
    <t>2021 год</t>
  </si>
  <si>
    <t>458</t>
  </si>
  <si>
    <t>Реализация основных общеобразовательных программ дошкольного образования</t>
  </si>
  <si>
    <t>Количество воспитанников в дошкольных образовательных учреждениях</t>
  </si>
  <si>
    <t>Расходы бюджета муниципального образования "Муниципальный округ Кезский район Удмуртской Республики" на оказание муниципальной услуги (выполнение работы)</t>
  </si>
  <si>
    <t>462</t>
  </si>
  <si>
    <t>Предоставление общедоступного и бесплатного дошкольного образования, осуществления присмуниципального образованиятра и ухода за детьми в муниципальных образовательных учреждениях, расположенных на территории муниципального образования «Муниципальный округ Кезский район Удмуртской Республики"</t>
  </si>
  <si>
    <t xml:space="preserve"> Реализация основных общеобразовательных программ начального общего образования</t>
  </si>
  <si>
    <t>Количество обучающихся</t>
  </si>
  <si>
    <t xml:space="preserve"> Реализация основных общеобразовательных программ основного общего образования</t>
  </si>
  <si>
    <t>Реализация основных общеобразовательных программ среднего общего образования</t>
  </si>
  <si>
    <t xml:space="preserve"> Реализация основных общеобразовательных программ дошкольного образования</t>
  </si>
  <si>
    <t>Количество воспитанников дошкольных групп при образовательных учреждениях</t>
  </si>
  <si>
    <t xml:space="preserve">Предоставление общедоступного и бесплатного начального общего, основного общего, среднего общего образования в муниципальных общеобразовательных учреждениях, расположенных на территории муниципального образования  "Муниципальный округ Кезский район Удмуртской Республики" </t>
  </si>
  <si>
    <t>Дополнительное образование и воспитание детей</t>
  </si>
  <si>
    <t xml:space="preserve"> Реализация дополнительных общеразвивающих программ</t>
  </si>
  <si>
    <t>человеко-часы</t>
  </si>
  <si>
    <t>Предоставление дополнительного образования в муниципальных образовательных учреждениях, расположенных на территории муниципального образования "Муниципальный округ Кезский район Удмуртской Республики"</t>
  </si>
  <si>
    <t>463</t>
  </si>
  <si>
    <t>Предоставление дополнительного образования детям в области искусств</t>
  </si>
  <si>
    <t xml:space="preserve">Количество обучающихся </t>
  </si>
  <si>
    <t>чел.-часы</t>
  </si>
  <si>
    <t>467</t>
  </si>
  <si>
    <t>Проведение муниципального образованиялодежной политики</t>
  </si>
  <si>
    <t>456</t>
  </si>
  <si>
    <t>Организация и осуществление мероприятий по работе с детьми и муниципального образованиялодежью, и финансирование МБУ МЦ "Надежда"</t>
  </si>
  <si>
    <t>Количество проведенных мероприятий</t>
  </si>
  <si>
    <t>мероприятий</t>
  </si>
  <si>
    <t>Расходы бюджета  муниципального образования «Муниципальный округ Кезский район Удмуртской Республики» на оказание муниципальной услуги (выполнение работы)</t>
  </si>
  <si>
    <t>Организация и осуществление мероприятий муниципального образовани по работе с детьми и молодежью</t>
  </si>
  <si>
    <t>Формирование бюджетной отчетности для главного распорядителя, распорядителя, получателя бюджетных средств, главного администратора, администратора источников финансирования дефицита бюджета, главного администратора, администратора доходов бюджета</t>
  </si>
  <si>
    <t>Количество отчетов, подлежащих своду</t>
  </si>
  <si>
    <t>количество отчетов</t>
  </si>
  <si>
    <t>Расходы бюджета  муниципального образования «Кезский район» на оказание муниципальной услуги (выполнение работы)</t>
  </si>
  <si>
    <t>Приложение 5</t>
  </si>
  <si>
    <t>муниципального образования  "Муниципальный округ Кезский район Удмуртской Республики"</t>
  </si>
  <si>
    <t>Ресурсное обеспечение реализации муниципальной программы за счет средств бюджета муниципального района (городского округа)</t>
  </si>
  <si>
    <t>Наименование муниципальной программы, подпрограммы, основного мероприятия, мероприятия</t>
  </si>
  <si>
    <t>Код бюджетной классификации</t>
  </si>
  <si>
    <t>Расходы бюджета муниципального образования, тыс. рублей</t>
  </si>
  <si>
    <t>И</t>
  </si>
  <si>
    <t>Рз</t>
  </si>
  <si>
    <t>Пр</t>
  </si>
  <si>
    <t>ЦС</t>
  </si>
  <si>
    <t>ВР</t>
  </si>
  <si>
    <t>Справочно: среднегодовой индекс инфляции (потребительских цен)</t>
  </si>
  <si>
    <t>"Развитие образования и воспитание" на 2015-2026 годы</t>
  </si>
  <si>
    <t>Всего</t>
  </si>
  <si>
    <t xml:space="preserve">Управление образованием  </t>
  </si>
  <si>
    <t>Отдел культуры, туризма, сопрта и молодежной политики</t>
  </si>
  <si>
    <t>Сектор по работе с молодежью</t>
  </si>
  <si>
    <t>Администрация муниципального образования  "Муниципальный округ Кезский район Удмуртской Республики"</t>
  </si>
  <si>
    <t>461</t>
  </si>
  <si>
    <t>Управление территориального развития Администрации МО"МО Кезский район УР"</t>
  </si>
  <si>
    <t>466</t>
  </si>
  <si>
    <t xml:space="preserve">Управление образованием </t>
  </si>
  <si>
    <t>0110200000</t>
  </si>
  <si>
    <t xml:space="preserve">458  </t>
  </si>
  <si>
    <t xml:space="preserve">07      </t>
  </si>
  <si>
    <t xml:space="preserve">01     </t>
  </si>
  <si>
    <t xml:space="preserve">0110205470 </t>
  </si>
  <si>
    <t>611, 612</t>
  </si>
  <si>
    <t>з/п уч.проц</t>
  </si>
  <si>
    <t>Оказание муниципальными учреждениями муниципальных услуг, выполнение работ, финансовое обеспечение деятельности муниципальных дошкольных учреждений</t>
  </si>
  <si>
    <t xml:space="preserve">0110266770  </t>
  </si>
  <si>
    <t>МЗ</t>
  </si>
  <si>
    <t xml:space="preserve">0110263300  </t>
  </si>
  <si>
    <t xml:space="preserve"> 612</t>
  </si>
  <si>
    <t>Строительство дошкольных образовательных учреждений на территории  муниципального образования  "Муниципальный округ Кезский район Удмуртской Республики"</t>
  </si>
  <si>
    <t>0110300000</t>
  </si>
  <si>
    <t>414</t>
  </si>
  <si>
    <t>011P221590</t>
  </si>
  <si>
    <t>011P222320</t>
  </si>
  <si>
    <t>612</t>
  </si>
  <si>
    <t>строительство</t>
  </si>
  <si>
    <t>011P252320</t>
  </si>
  <si>
    <t>0110300820</t>
  </si>
  <si>
    <t>011P200000</t>
  </si>
  <si>
    <t>Укрепление материально-технической базы муниципальных дошкольных образовательных организаций</t>
  </si>
  <si>
    <t>0110500000</t>
  </si>
  <si>
    <t>Материально-техническое обеспечение образовательной деятельности, оборудование помещений в соответствии с государственными и местными нормами и требованиями, в том числе в соответствии с федеральными государственными образовательными стандартами, федеральными государственными требованиями, образовательными стандартами;</t>
  </si>
  <si>
    <t>0110561420</t>
  </si>
  <si>
    <t>244</t>
  </si>
  <si>
    <t>0110505720</t>
  </si>
  <si>
    <t>0110504220</t>
  </si>
  <si>
    <t>подготовка</t>
  </si>
  <si>
    <t>Адаптация зданий образовательных учреждений, а также прилегающей территории для беспрепятственного доступа детей-инвалидов всех категорий с учетом их особых потребностей, оборудование зданий образовательных организаций специальными устройствами</t>
  </si>
  <si>
    <t>01105L0270</t>
  </si>
  <si>
    <t>дост. Среда 9783</t>
  </si>
  <si>
    <t>01105R0270</t>
  </si>
  <si>
    <t xml:space="preserve"> Закупка энергетических ресурсов</t>
  </si>
  <si>
    <t>0110560140</t>
  </si>
  <si>
    <t>247</t>
  </si>
  <si>
    <t>Проведение государственной экспертизы проектной документации</t>
  </si>
  <si>
    <t>0110562250</t>
  </si>
  <si>
    <t>Мероприятия по проведению капитального ремуниципального образованиянта и реконструкции объектов муниципальной собственности</t>
  </si>
  <si>
    <t>0110600000</t>
  </si>
  <si>
    <t>кап.ремуниципального образованиянт Колосок</t>
  </si>
  <si>
    <t>01106S0830</t>
  </si>
  <si>
    <t>Управление образованием Администрации муниципального образования  "Муниципальный округ Кезский район Удмуртской Республики"</t>
  </si>
  <si>
    <t>0120000000</t>
  </si>
  <si>
    <t>Управление образования Администрации муниципального образования  "Муниципальный округ Кезский район Удмуртской Республики"</t>
  </si>
  <si>
    <t>0120100000</t>
  </si>
  <si>
    <t>0120104310</t>
  </si>
  <si>
    <t>611, 111,  112,  119,  244</t>
  </si>
  <si>
    <t>0120153030</t>
  </si>
  <si>
    <t>612, 111,  112,  119,  244</t>
  </si>
  <si>
    <t>кл. рук.</t>
  </si>
  <si>
    <t>Оказание муниципальными учреждениями муниципальных услуг, выполнение работ, финансовое обеспечение деятельности муниципальных учреждений общего образования</t>
  </si>
  <si>
    <t xml:space="preserve">07  </t>
  </si>
  <si>
    <t xml:space="preserve">02  </t>
  </si>
  <si>
    <t xml:space="preserve">0120166770   </t>
  </si>
  <si>
    <t>611,  244,  242, 852, 853</t>
  </si>
  <si>
    <t>0120109090</t>
  </si>
  <si>
    <t>612, 244</t>
  </si>
  <si>
    <t>111    119   612</t>
  </si>
  <si>
    <t>гиа егэ</t>
  </si>
  <si>
    <t>0120100120</t>
  </si>
  <si>
    <t>0120204330</t>
  </si>
  <si>
    <t>111,  112,  119,  244,  242,  321,  852, 853</t>
  </si>
  <si>
    <t>о.чепца</t>
  </si>
  <si>
    <t>Укрепление материально-технической базы муниципальных общеобразовательных организаций</t>
  </si>
  <si>
    <t>0120300000</t>
  </si>
  <si>
    <t>0120361420</t>
  </si>
  <si>
    <t>612,  244</t>
  </si>
  <si>
    <t>Материально-техническое обеспечение образовательной деятельности, оборудование помещений в соответствии с государственными и местными нормами и требованиями, в том числе в соответствии с федеральными государственными образовательными стандартами, федеральными государственными требованиями, образовательными стандартами; Участие в конкурсах, смотрах, соревнованиях и других мероприятиях</t>
  </si>
  <si>
    <t>0120361300</t>
  </si>
  <si>
    <t>Укрепление материально-технической базы образовательных учреждений за счет дотации на поддержку мер по обеспечению сбалансированности</t>
  </si>
  <si>
    <t>0120304220</t>
  </si>
  <si>
    <t xml:space="preserve">  244, 612</t>
  </si>
  <si>
    <t>Разработка проектной и сметной документации</t>
  </si>
  <si>
    <t>0120362240</t>
  </si>
  <si>
    <t xml:space="preserve">  244</t>
  </si>
  <si>
    <t>0120363300</t>
  </si>
  <si>
    <t>0120362250</t>
  </si>
  <si>
    <t>01203S0970</t>
  </si>
  <si>
    <t>01203R0970</t>
  </si>
  <si>
    <t>01203L0970</t>
  </si>
  <si>
    <t>012Е250970</t>
  </si>
  <si>
    <t>спорт</t>
  </si>
  <si>
    <t>012Е250980</t>
  </si>
  <si>
    <t>подготовкаа</t>
  </si>
  <si>
    <t>Резервные фонды исполнительных органов государственной власти субьектов РФ</t>
  </si>
  <si>
    <t>0120300310</t>
  </si>
  <si>
    <t>0120360080</t>
  </si>
  <si>
    <t>Реализация мероприятий по модернизации школьных систем образования (оснащение общеобразовательных организаций средствами обучения и воспитания)</t>
  </si>
  <si>
    <t>01203l7502</t>
  </si>
  <si>
    <t>На функционирование центров образования цифрового и гуманитарного профилей «Точка роста» в рамках реализации мероприятий регионального проекта «Современная школа» национального проекта «Образование»</t>
  </si>
  <si>
    <t>0120307070</t>
  </si>
  <si>
    <t>241</t>
  </si>
  <si>
    <t>Обновление материально-технической базы для реализации основных и дополнительных общеобразовательных программ цифрового, естественнонаучного, гуманитарного и технологического профилей. Обеспечение деятельности центров образования цифрового и гуманитарного профилей "Точка роста"</t>
  </si>
  <si>
    <t>012Е121690</t>
  </si>
  <si>
    <t>ТР</t>
  </si>
  <si>
    <t>0120361310</t>
  </si>
  <si>
    <t>Питание учащихся</t>
  </si>
  <si>
    <t>0120500000</t>
  </si>
  <si>
    <t>Проведение мероприятий по материально-техническому перевооружению и муниципального образованиядернизации пищеблоков в системе дошкольного и школьного питания в образовательных учреждениях Кезского района</t>
  </si>
  <si>
    <t>0120504220</t>
  </si>
  <si>
    <t>244 612</t>
  </si>
  <si>
    <t xml:space="preserve">ремонт пищеблоков </t>
  </si>
  <si>
    <t>Обеспечение учащихся образовательных учреждений всеми видами питания: обеспечение завтраком учащихся 1-5-х классов образовательных учреждений (реализация подпрограммы «Детское и школьное питание» государственной программы Удмуртской Республики "Развитие образования и воспитание")</t>
  </si>
  <si>
    <t>0120506960</t>
  </si>
  <si>
    <t>244, 612</t>
  </si>
  <si>
    <t>завтраки</t>
  </si>
  <si>
    <t>0120523040</t>
  </si>
  <si>
    <t>гор.пит</t>
  </si>
  <si>
    <t>012052304S</t>
  </si>
  <si>
    <t>01205L3040</t>
  </si>
  <si>
    <t>01205S6960</t>
  </si>
  <si>
    <t>завтраки соф</t>
  </si>
  <si>
    <t>01205S3040</t>
  </si>
  <si>
    <t>гор. Пит соф</t>
  </si>
  <si>
    <t>5-11</t>
  </si>
  <si>
    <t>5-11 соф</t>
  </si>
  <si>
    <t>0120561220</t>
  </si>
  <si>
    <t>пит ОВЗ</t>
  </si>
  <si>
    <t>0120600000</t>
  </si>
  <si>
    <t>Обеспечение питанием дошкольников за счет родительской платы</t>
  </si>
  <si>
    <t xml:space="preserve">0120663410    </t>
  </si>
  <si>
    <t xml:space="preserve">0120663420  </t>
  </si>
  <si>
    <t xml:space="preserve">0120663400  </t>
  </si>
  <si>
    <t>Создание условий для инклюзивного образования  детей-инвалидов в общеобразовательных организациях</t>
  </si>
  <si>
    <t>0120700000</t>
  </si>
  <si>
    <t>Адаптация зданий общеобразовательных организаций, а также прилегающей территории для беспрепятственного доступа детей-инвалидов всех категорий с учетом их особых потребностей (реконструкция)</t>
  </si>
  <si>
    <t>01207L0270</t>
  </si>
  <si>
    <t>0120800000</t>
  </si>
  <si>
    <t>капремуниципального образованиянт</t>
  </si>
  <si>
    <t>0120960000</t>
  </si>
  <si>
    <t>244  414</t>
  </si>
  <si>
    <t>0120860100</t>
  </si>
  <si>
    <t>0120860150</t>
  </si>
  <si>
    <t>кап.рем. Чепца</t>
  </si>
  <si>
    <t>01208S0830</t>
  </si>
  <si>
    <t>612  244</t>
  </si>
  <si>
    <t>01208S6290</t>
  </si>
  <si>
    <t>0120800310</t>
  </si>
  <si>
    <t>243</t>
  </si>
  <si>
    <t>Разработка проектной и сметной документации, проведение государственной экспертизы проектной документации</t>
  </si>
  <si>
    <t>0120860000</t>
  </si>
  <si>
    <t>Мероприятия по проведению капитального ремуниципального образованиянта и реконструкции объектов муниципальной собственности/ Реализация мероприятий по модернизации школьных систем образования в части капитального ремонта зданий муниципальных общеобразовательных организаци</t>
  </si>
  <si>
    <t>01208L7500</t>
  </si>
  <si>
    <t xml:space="preserve">Строительство учреждений общего образования </t>
  </si>
  <si>
    <t>01209S6290</t>
  </si>
  <si>
    <t>0120960140</t>
  </si>
  <si>
    <t>244 414</t>
  </si>
  <si>
    <t>0120961420</t>
  </si>
  <si>
    <t>012E12000</t>
  </si>
  <si>
    <t>012E100000</t>
  </si>
  <si>
    <t>EB</t>
  </si>
  <si>
    <t>Федеральный проект "Патриотическое воспитание граждан Российской Федерации"</t>
  </si>
  <si>
    <t>012ЕВ00000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</si>
  <si>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</si>
  <si>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012ЕВ51790</t>
  </si>
  <si>
    <t>612, 111, 119</t>
  </si>
  <si>
    <t xml:space="preserve"> </t>
  </si>
  <si>
    <t>0130000000</t>
  </si>
  <si>
    <t>Оказание муниципальными учреждениями муниципальных услуг, выполнение работ, финансовое обеспечение деятельности муниципальных учреждений дополнительного образования</t>
  </si>
  <si>
    <t xml:space="preserve">07 </t>
  </si>
  <si>
    <t xml:space="preserve">03 </t>
  </si>
  <si>
    <t xml:space="preserve">0130166770 </t>
  </si>
  <si>
    <t>611    612</t>
  </si>
  <si>
    <t>мз</t>
  </si>
  <si>
    <t>0130166770</t>
  </si>
  <si>
    <t>611</t>
  </si>
  <si>
    <t>01301S6290</t>
  </si>
  <si>
    <t>0130166620</t>
  </si>
  <si>
    <t>0130300000</t>
  </si>
  <si>
    <t>Организация, проведение районных соревнований и мероприятий, обеспечение участия представителей муниципального образования  "Муниципальный округ Кезский район Удмуртской Республики" в конкурсах, смуниципального образованиятрах, соревнованиях, турнирах  и  других мероприятиях на  республиканском, межрегиональном и российском уровнях</t>
  </si>
  <si>
    <t>0130361300</t>
  </si>
  <si>
    <t>мероп</t>
  </si>
  <si>
    <t>0130500000</t>
  </si>
  <si>
    <t>0130561420</t>
  </si>
  <si>
    <t>0130563300</t>
  </si>
  <si>
    <t>0130505720</t>
  </si>
  <si>
    <t>0130600000</t>
  </si>
  <si>
    <t>Мероприятия по проведению капитального ремуниципального образованиянта и реконструкции объектов муниципальной собственности/ Проведение государственной экспертизы проектной документации</t>
  </si>
  <si>
    <t>0130662250</t>
  </si>
  <si>
    <t xml:space="preserve"> Софинансирование государственных программ, инвестиций, капитальных вложений</t>
  </si>
  <si>
    <t>0130900000</t>
  </si>
  <si>
    <t>Обеспечение персонифицированного финансирования дополнительного образования детей</t>
  </si>
  <si>
    <t>0131061440</t>
  </si>
  <si>
    <t>632</t>
  </si>
  <si>
    <t>0131066770</t>
  </si>
  <si>
    <t>614</t>
  </si>
  <si>
    <t>0140000000</t>
  </si>
  <si>
    <t>Отдел культуры, туризма, спорта и молодежной политики</t>
  </si>
  <si>
    <t xml:space="preserve">Администрация муниципального образования  "Муниципальный округ Кезский район Удмуртской Республики" </t>
  </si>
  <si>
    <t>Управление образованием</t>
  </si>
  <si>
    <t>Мероприятия в области молодежной политики</t>
  </si>
  <si>
    <t>0140100000</t>
  </si>
  <si>
    <t>Проведение мероприятий по работе с детьми и молодежью</t>
  </si>
  <si>
    <t>0140161400</t>
  </si>
  <si>
    <t>0150162900</t>
  </si>
  <si>
    <t>Содействие занятости молодежи</t>
  </si>
  <si>
    <t>Организация временного трудоустройства подростков</t>
  </si>
  <si>
    <t>Сектор по работе с молодежью, Управление образованием</t>
  </si>
  <si>
    <t>0140205230</t>
  </si>
  <si>
    <t>Обеспечение деятельности учреждений по реализации молодежной политике</t>
  </si>
  <si>
    <t xml:space="preserve">0140300000  </t>
  </si>
  <si>
    <t xml:space="preserve">Оказание муниципальными учреждениями муниципальных услуг, выполнение работ, финансовое обеспечение деятельности МБУ МЦ «Надежда» </t>
  </si>
  <si>
    <t xml:space="preserve">0140366770  </t>
  </si>
  <si>
    <t>611,  612</t>
  </si>
  <si>
    <t xml:space="preserve">0140362740  </t>
  </si>
  <si>
    <t>Покупка, ремуниципального образованиянт оргтехники, мебели</t>
  </si>
  <si>
    <t xml:space="preserve">0140461420  </t>
  </si>
  <si>
    <t>0140909550</t>
  </si>
  <si>
    <t>0140961400</t>
  </si>
  <si>
    <t>0620561410</t>
  </si>
  <si>
    <t>0620561920</t>
  </si>
  <si>
    <t>01409S0000</t>
  </si>
  <si>
    <t>Организация отдыха, оздоровления и занятости детей, подростков и молодежи</t>
  </si>
  <si>
    <t>0150000000</t>
  </si>
  <si>
    <t>000</t>
  </si>
  <si>
    <t>0150100000</t>
  </si>
  <si>
    <t xml:space="preserve">0150105230  </t>
  </si>
  <si>
    <t>612, 244, 321</t>
  </si>
  <si>
    <t>Организация и проведение пришкольных оздоровительных лагерей на базе ОУ                                                           Субсидия на проведение дополнительных санитарно-эпидемиологических мероприятий при организации отдыха и оздоровления детей в лагерях с дневным пребыванием детей, лагерей труда и отдыха в условиях сохранения рисков распространения COVID-19</t>
  </si>
  <si>
    <t xml:space="preserve">0150104220 </t>
  </si>
  <si>
    <t>244,    612</t>
  </si>
  <si>
    <t>лагерь</t>
  </si>
  <si>
    <t xml:space="preserve">0150161410  </t>
  </si>
  <si>
    <t xml:space="preserve">01501S5230  </t>
  </si>
  <si>
    <t xml:space="preserve">01501S6290 </t>
  </si>
  <si>
    <t xml:space="preserve">0150162900  </t>
  </si>
  <si>
    <t xml:space="preserve"> 0150163420</t>
  </si>
  <si>
    <t>пит.лаг</t>
  </si>
  <si>
    <t xml:space="preserve"> 0150163300</t>
  </si>
  <si>
    <t>0160000000</t>
  </si>
  <si>
    <t xml:space="preserve">Реализация установленных полномуниципального образованиячий (функций) Управления образованием </t>
  </si>
  <si>
    <t xml:space="preserve">0160100000 </t>
  </si>
  <si>
    <t>Создание и организация деятельности комиссий по делам несовершеннолетних и защите их прав</t>
  </si>
  <si>
    <t>0160104350</t>
  </si>
  <si>
    <t>121,    129, 244, 852</t>
  </si>
  <si>
    <t>олеся</t>
  </si>
  <si>
    <t>Реализация установленных полномочий (функций) Управления образованием муниципального образования  "Муниципальный округ Кезский район Удмуртской Республики", организация эффективного управления систем образования района</t>
  </si>
  <si>
    <t xml:space="preserve">0160160030 </t>
  </si>
  <si>
    <t>121, 122, 129, 242, 244,  852</t>
  </si>
  <si>
    <t>зп уо</t>
  </si>
  <si>
    <t>0160161420</t>
  </si>
  <si>
    <t>0911200000</t>
  </si>
  <si>
    <t>Организация бухгалтерского учета в муниципальных образовательных учреждениях, подведомственных Управлению образованием</t>
  </si>
  <si>
    <t>Оказание муниципальными учреждениями муниципальных услуг, выполнение работ, финансовое обеспечение деятельности муниципальных учреждений Централизованной бухгалтерии</t>
  </si>
  <si>
    <t>0911266770</t>
  </si>
  <si>
    <t>111, 112, 119,  242, 244,    852</t>
  </si>
  <si>
    <t>ЦБ</t>
  </si>
  <si>
    <t xml:space="preserve">Укрепление материально-технической базы Управления образованием.                                                                               </t>
  </si>
  <si>
    <t>0160261420</t>
  </si>
  <si>
    <t>243,   244</t>
  </si>
  <si>
    <t>Организационно-методическое и информационное обеспечение деятельности образовательных учреждений. Организация и проведение семинаров, совещаний</t>
  </si>
  <si>
    <t>0160360120</t>
  </si>
  <si>
    <t>111, 112, 119,  242, 244</t>
  </si>
  <si>
    <t>Организация повышения квалификации педагогических работников, руководителей муниципальных образовательных учреждений  Кезского района</t>
  </si>
  <si>
    <t>0160401820</t>
  </si>
  <si>
    <t>учеба педаг</t>
  </si>
  <si>
    <t>Организация и проведение аттестации руководителей, педагогических работников муниципальных образовательных учреждений, подведомственных Управлению образованием</t>
  </si>
  <si>
    <t>0160600000</t>
  </si>
  <si>
    <t xml:space="preserve">с учащимися и воспитанниками образовательных организаций муниципального образования «Муниципальный округ Кезский район Удмуртской Республики»                                                                                                                           </t>
  </si>
  <si>
    <t>0160661430</t>
  </si>
  <si>
    <t xml:space="preserve">с учащимися и воспитанниками образовательных организаций муниципального образования «Муниципальный округ Кезский район Удмуртской Республики»                                                      </t>
  </si>
  <si>
    <t>0160663300</t>
  </si>
  <si>
    <t>Оценка качества предоставляемых образовательных услуг в образовательных учреждениях</t>
  </si>
  <si>
    <t>0160961430</t>
  </si>
  <si>
    <t>Уплата налога</t>
  </si>
  <si>
    <t>0161266620</t>
  </si>
  <si>
    <t>612, 851</t>
  </si>
  <si>
    <t>0161266770</t>
  </si>
  <si>
    <t>612, 851,  853</t>
  </si>
  <si>
    <t>налоги</t>
  </si>
  <si>
    <t>0161300000</t>
  </si>
  <si>
    <t>Проведение мероприятий по первичной пожарной безопасности. Противопожарные мероприятия. связанные с содержанием муниципального имущества</t>
  </si>
  <si>
    <t>0161300600</t>
  </si>
  <si>
    <t>244, 612, 611</t>
  </si>
  <si>
    <t>0161361910</t>
  </si>
  <si>
    <t>безопасность</t>
  </si>
  <si>
    <t>0161361450</t>
  </si>
  <si>
    <t xml:space="preserve"> 612, 611</t>
  </si>
  <si>
    <t>0161361960</t>
  </si>
  <si>
    <t>Проведение мероприятий по антитеррористической  и дорожной безопасности</t>
  </si>
  <si>
    <t>0161304960</t>
  </si>
  <si>
    <t>Расходы на мероприятия по обеспечению безопасности образовательных организаций в УР на оснащение объектов (территорий) муниципальных образовательных организаций инженерно-техническими средствами и системами охраны</t>
  </si>
  <si>
    <t>01613S0000</t>
  </si>
  <si>
    <t>0161362250</t>
  </si>
  <si>
    <t>0161362740</t>
  </si>
  <si>
    <t>СОУТ</t>
  </si>
  <si>
    <t>0161304220</t>
  </si>
  <si>
    <t>covid</t>
  </si>
  <si>
    <t>0161361441</t>
  </si>
  <si>
    <t>0161362240</t>
  </si>
  <si>
    <t>Социальная поддержка педагогических работников</t>
  </si>
  <si>
    <t>0161400000</t>
  </si>
  <si>
    <t>Денежная компенсация по оплате жилых помещений и коммунальных услуг специалистов, проживающим и работающим в сельских населенных пунктах</t>
  </si>
  <si>
    <t>0161463820</t>
  </si>
  <si>
    <t>112     321,  612</t>
  </si>
  <si>
    <t>ком.спец УО</t>
  </si>
  <si>
    <t>321,  612</t>
  </si>
  <si>
    <t>ком. Спец Культ</t>
  </si>
  <si>
    <t>Материальная поддержка семей с детьми дошкольного возраста</t>
  </si>
  <si>
    <t>0161500000</t>
  </si>
  <si>
    <t>244   612</t>
  </si>
  <si>
    <t>5-11 малооб</t>
  </si>
  <si>
    <t>42</t>
  </si>
  <si>
    <t xml:space="preserve">соф малоб </t>
  </si>
  <si>
    <t>Компенсация части родительской платы, взимаемуниципального образованияй с родителей (законных представителей) за присмуниципального образованиятр и уход за детьми в организациях, находящихся на территории Удмуртской Республики, реализующих образовательную программу дошкольного образования</t>
  </si>
  <si>
    <t>0161504240</t>
  </si>
  <si>
    <t>комп. Части род. Платы</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</si>
  <si>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1 и 2 группы и не имеют других доходов, кроме пенсии, от оплаты за присмуниципального образованиятр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</si>
  <si>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0161504480</t>
  </si>
  <si>
    <t>род.-инв</t>
  </si>
  <si>
    <t>01615S6290</t>
  </si>
  <si>
    <t>род.инв соф</t>
  </si>
  <si>
    <t>Расходы муниципального образования по пристру и уходу за детьми- инвалидами, детьми- сиротами и детьми, оставшимися без попечения родителей, а также за детьми с туберкулезной интоксикауцией, обучающимися в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</si>
  <si>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0161507120</t>
  </si>
  <si>
    <t>612      244</t>
  </si>
  <si>
    <t>Расходы муниципального образования по присмуниципального образованиятру и уходу за детьми- инвалидами, детьми- сиротами и детьми, оставшимися без попечения родителей, а также за детьми с туберкулезной интоксикауцией, обучающимися в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</si>
  <si>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01615S7120</t>
  </si>
  <si>
    <t>соф присмтр</t>
  </si>
  <si>
    <t>Расходы по предоставлению 50 -ти процентной скидки многодетным семьям  от установленной платы за присмуниципального образованиятр и уход за ребенком в образовательной учреждении, реализующем программу дошкольного образования</t>
  </si>
  <si>
    <t>0161561200</t>
  </si>
  <si>
    <t>244,  612</t>
  </si>
  <si>
    <t>скидка многод</t>
  </si>
  <si>
    <t>Субсиди. связанные со снижением размера родительской платы за присмотр и уход за детьми. муниципальным дошкольным учреждениям. осуществляющим образовательную деятельность (дети из семей мобилизованных)</t>
  </si>
  <si>
    <t>0161561230</t>
  </si>
  <si>
    <t>Софинансирование государственных программ, инвестиций, капитальных вложений</t>
  </si>
  <si>
    <t>0161562900</t>
  </si>
  <si>
    <t xml:space="preserve">Привлечение средств для развития образовательных организаций муниципального образования  "Муниципальный округ Кезский район Удмуртской Республики" (через дополнительные образовательные платные услуги, спонсорскую помуниципального образованиящь, добровольные пожертвования) </t>
  </si>
  <si>
    <t>Приложение 6</t>
  </si>
  <si>
    <t>МО "Муниципальный округ Кезский район Удмуртской Республики"</t>
  </si>
  <si>
    <t>Прогнозная (справочная) оценка ресурсного обеспечения реализации муниципальной программы за счет всех источников финансирования</t>
  </si>
  <si>
    <t>Наименование муниципальной программы, подпрограммы</t>
  </si>
  <si>
    <t>Источник финансирования</t>
  </si>
  <si>
    <t>Оценка расходов, тыс. рублей</t>
  </si>
  <si>
    <t xml:space="preserve">Итого </t>
  </si>
  <si>
    <t>2020год</t>
  </si>
  <si>
    <t>2021год</t>
  </si>
  <si>
    <t>2022год</t>
  </si>
  <si>
    <t>2023год</t>
  </si>
  <si>
    <t>2024год</t>
  </si>
  <si>
    <t>2025год</t>
  </si>
  <si>
    <t>2026год</t>
  </si>
  <si>
    <t xml:space="preserve">"Развитие образования и воспитание" </t>
  </si>
  <si>
    <t>бюджет МО "Муниципальный округ Кезский район Удмуртской Республики"</t>
  </si>
  <si>
    <t>в том числе:</t>
  </si>
  <si>
    <t xml:space="preserve">собственные средства </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</si>
  <si>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</si>
  <si>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</si>
  <si>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t>
  </si>
  <si>
    <t>средства бюджета Удмуртской Республики, планируемые к привлечению</t>
  </si>
  <si>
    <t>иные источники</t>
  </si>
  <si>
    <t>субвенции дс</t>
  </si>
  <si>
    <t>бюджет муниципального образования "Муниципальный округ Кезский район Удмуртской Республики"</t>
  </si>
  <si>
    <t>собственные средства</t>
  </si>
  <si>
    <t>89000 субсидии</t>
  </si>
  <si>
    <t>субв.шк+озчепца, комп.ч.род.пл.,род.инвал., многодет.</t>
  </si>
  <si>
    <t>зп по гиа, кл.рук.,охрана,повыш.кв.,Точка Роста</t>
  </si>
  <si>
    <t>Развитие дополнительного образования детей</t>
  </si>
  <si>
    <t>комиссия по делам несовереннолетних</t>
  </si>
  <si>
    <t>субвенции пит.род.инвал, компенсация части род.платы, многодетные</t>
  </si>
  <si>
    <t>учеба педаг, охрана</t>
  </si>
  <si>
    <t>Сведения о внесенных за отчетный период изменениях в муниципальную программу</t>
  </si>
  <si>
    <t>По состоянию на ____________</t>
  </si>
  <si>
    <t>Наименование муниципальной программы ___________________________________________________________________________________________________</t>
  </si>
  <si>
    <t>Вид правового акта</t>
  </si>
  <si>
    <t>Дата принятия</t>
  </si>
  <si>
    <t>Номер</t>
  </si>
  <si>
    <t>Суть изменений (краткое изложение)</t>
  </si>
  <si>
    <t>Постановление  Администрации муниципального образования «Муниципальный округ Кезский район Удмуртской Республики»</t>
  </si>
  <si>
    <t>Результаты оценки эффективности муниципальной программы</t>
  </si>
  <si>
    <t>За _____________ год</t>
  </si>
  <si>
    <t>Наименование муниципальной программы</t>
  </si>
  <si>
    <t>________________________________________________________________________________________________________________</t>
  </si>
  <si>
    <t>Муниципальная программа, подпрограмма</t>
  </si>
  <si>
    <t>Координатор</t>
  </si>
  <si>
    <t>Ответственный исполнитель</t>
  </si>
  <si>
    <t xml:space="preserve">Эффективность реализации муниципальной программы (подпрограммы) </t>
  </si>
  <si>
    <t>Степень достижения плановых значений целевых показателей (индикаторов)</t>
  </si>
  <si>
    <t xml:space="preserve">Степень реализации мероприятий </t>
  </si>
  <si>
    <t>Степень соответствия запланированному уровню расходов</t>
  </si>
  <si>
    <t xml:space="preserve">Эффективность использования средств бюджета муниципального образования </t>
  </si>
  <si>
    <t>Управление образованием Администрации МО "Муниципальный округ Кезский район Удмуртской Республики"</t>
  </si>
  <si>
    <t>Хх</t>
  </si>
  <si>
    <t>Х</t>
  </si>
  <si>
    <t>…</t>
  </si>
  <si>
    <t>Управление образования, ЦДТ, СШ, ОУ</t>
  </si>
  <si>
    <t xml:space="preserve">Обеспечение персонифицированного финансирования дополнительного образования детей
 Подготовка нормативно-правовых актов по оказанию услуг в социальной сфере. Проведения отбора исполнителей услуг с 1 сентября 2023 года по 31 августа 2024 года. Выдача социальных сертификатов обучающимся по направлению деятельности «Реализа-ция дополнительных образовательных программ (за исключением дополнительных пред-профессиональных программ в области искусства)». С 1 сентября 2023 года
</t>
  </si>
  <si>
    <t>Управление образования,  учреждения дополнительного образования детей</t>
  </si>
  <si>
    <t xml:space="preserve">Применение механизма перехода к нормативно-подушевому финансированию реализации дополнительных общеобразовательных программ; создание равных условий доступа к дополнительному образованию; переход номинала сертификата в часы. </t>
  </si>
  <si>
    <t>01.3.3, 01.3.3</t>
  </si>
  <si>
    <t>Участие детей в профильных лагерях Удмуртской Республики, Российской Федерации</t>
  </si>
  <si>
    <t>Обеспечение учебниками и учебными пособиями. Расходы на обеспечение  образовательных учреждений региональными учебниками  и учебными пособиями.</t>
  </si>
  <si>
    <t>Обеспечение условий для получения общедоступного бесплатного и качественного образования в соответствии с ФГОС. Обеспечение прав граждан на изучение родного языка и (или) получение образования на родном языке. Учебно-методическое обеспечение реализации региональной и этнокультурной составляющей ФГОС. Обновление и пополнение фондов школьных библиотек.</t>
  </si>
  <si>
    <t>новое</t>
  </si>
  <si>
    <t>7</t>
  </si>
  <si>
    <t>Обновление содержания и методов обучения предметной области "Технология" и других предметных областей</t>
  </si>
  <si>
    <t>Увеличение доли образовательных учреждений, в которых обновлено содержание и методы обучения предметной области «Технология» и других предметных областей</t>
  </si>
  <si>
    <t>8</t>
  </si>
  <si>
    <t>Обновление материально-технической базы для реализации основных и дополнительных общеобразовательных программ цифрового, естественнонаучного, гуманитарного и технологического профилей, нарастающим итогом к 2018 году. Обеспечение деятельности центров образования цифрового и гуманитарного профилей "Точка роста"</t>
  </si>
  <si>
    <t>Увеличение числа общеобразовательных учреждений, обновивших материально-техническую базу для реализации основных и дополнительных общеоб-разовательных программ цифрового, естественнонаучного, гуманитарного и технологического профилей</t>
  </si>
  <si>
    <t>9</t>
  </si>
  <si>
    <t>Охват учащихся основными и дополнительными общеобразовательными программами цифрового, естественнонаучного, гуманитарного и технологического профилей, нарастающим итогом к 2018 году</t>
  </si>
  <si>
    <t>Увеличение численности учащихся, основными и дополнительными общеобразовательными программами цифрового, естественнонаучного, гуманитарного и технологического профилей</t>
  </si>
  <si>
    <t>Формирование и развитие современной информационной образовательной среды в муниципальных общеобразовательных организациях</t>
  </si>
  <si>
    <t>Возможность использования информационно-коммуникационных технологий в образовательном процессе. Возможность обучения по ФГОС</t>
  </si>
  <si>
    <t xml:space="preserve">Детское и школьное питание: создание системы обеспечения питанием детей дошкольного и школьного возраста.       </t>
  </si>
  <si>
    <t>Обеспечение качественным сбалансированным питанием учащихся образовательных учреждений Кезского района разных социальных групп</t>
  </si>
  <si>
    <t>Обеспечение учащихся образовательных учреждений всеми видами питания: обеспечение завтраком учащихся 1-4-х классов образовательных учреждений (реализация подпрограммы «Детское и школьное питание» государственной программы Удмуртской Республики "Развитие образования")</t>
  </si>
  <si>
    <t xml:space="preserve">Обеспечение учащихся образовательных учреждений всеми видами питания 
</t>
  </si>
  <si>
    <t>старое</t>
  </si>
  <si>
    <t>Обеспечение учащихся образовательных учреждений всеми видами питания: обеспечение питанием учащихся 1-11-х классов образовательных учреждений из малообеспеченных семей (кроме детей из многодетных малообеспеченных семей), в том числе из неполных семей (реализация подпрограммы «Детское и школьное питание» государственной программы Удмуртской Республики "Развитие образования")</t>
  </si>
  <si>
    <t>01.2.2, 01.2.3, 01.2.8, 01.2.10, 01.2.15, 01.2.24</t>
  </si>
  <si>
    <t>Обеспечение учащихся образовательных учреждений всеми видами питания: обеспечение питанием учащихся 1-11-х классов образовательных учреждений с ОВЗ</t>
  </si>
  <si>
    <t>Разработка и утверждение системы мероприятий по динамическому наблюдению за состоянием здоровья детей дошкольного и школьного возраста</t>
  </si>
  <si>
    <t>Улучшение качественных показателей здоровья и социального положения детей дошкольного и школьного возраста</t>
  </si>
  <si>
    <t>Мероприятия по совершенствованию организации системы дошкольного и школьного питания в образовательных учреждениях Кезского района</t>
  </si>
  <si>
    <t>Совершенствование профессионально-кадрового состава работников основных профессий системы дошкольного и школьного питания.  Повышение уровня информированности руководителей и специалистов в области здорового питания. Повышение качества и конкурентноспособности продукции, имиджа пищеблоков в образовательных учреждениях.</t>
  </si>
  <si>
    <t>Проведение мероприятий по материально-техническому перевооружению и модернизации пищеблоков в системе дошкольного и школьного питания в образовательных учреждениях Кезского района</t>
  </si>
  <si>
    <t>Модернизация пищеблоков образовательнх учреждений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</si>
  <si>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субъектах Российской Федерации</t>
  </si>
  <si>
    <t>Обеспечение всех обучающихся, получающих начальное общее образование в государственных и муниципальных образовательных организациях в Удмуртской Республике, бесплатным горячим питанием</t>
  </si>
  <si>
    <t>Обеспечение учащихся образовательных учреждений всеми видами питания: обеспечение питанием учащихся 5-11-х классов образовательных учреждений из малообеспеченных семей (кроме детей из многодетных малообеспеченных семей), в том числе из неполных семей (реализация подпрограммы «Детское и школьное питание» государственной программы Удмуртской Республики "Развитие образования")</t>
  </si>
  <si>
    <t>Расходы за счет родительской платы за содержание ребенка в образовательных учреждениях</t>
  </si>
  <si>
    <t>Управление образования, Централизованная бухгалтерия</t>
  </si>
  <si>
    <t>Обеспечение питанием детей дошкольного возраста в образовательных учреждениях Кезского района</t>
  </si>
  <si>
    <t>Обеспечение питанием детей школьного возраста в образовательных учреждениях Кезского района</t>
  </si>
  <si>
    <t>Обеспечение расходными материалами за счет родительской платы</t>
  </si>
  <si>
    <t>приобретение расходных материалов, используемых для обеспечения соблюдения воспитанниками режима дня и личной гигиены</t>
  </si>
  <si>
    <t>Создание условий для инклюзивного и коррекционного образования  детей-инвалидов и детей с ОВЗ в общеобразовательных организациях</t>
  </si>
  <si>
    <t>Организация инклюзивного образования детей-инвалидов, детей с ОВЗ</t>
  </si>
  <si>
    <t>Адаптация зданий общеобразовательных организаций, а также прилегающей территории с целью доступности для инвалидов и другие мероприятия в рамках реализации государственной программы "Доступная среда"</t>
  </si>
  <si>
    <t xml:space="preserve">создание условий доступности для инвалидов </t>
  </si>
  <si>
    <t>Реализация меропрятий по поддержке образования для детей с ОВЗ и детей-инвалидов, оборудование зданий и помещений образовательных учреждений необходимыми устройствами для обучения детей-инвалидов и детей с ОВЗ</t>
  </si>
  <si>
    <t>Создание современных условий по поддержке образования для детей-инвалидов, детей с ОВЗ</t>
  </si>
  <si>
    <t xml:space="preserve">улучшение инфраструктуры муниципальных общеобразовательных учреждений  </t>
  </si>
  <si>
    <t xml:space="preserve">Реализация мероприятий по содействию созданию новых мест в общеобразовательных учреждениях в рамках Государственной программы РФ "Развитие образования".  Строительство учреждений общего образования. </t>
  </si>
  <si>
    <t>улучшение инфраструктуры муниципальных образования и перевод обучающихся на обучение в одну смену; создание современных условий по поддержке образования в сельской местности</t>
  </si>
  <si>
    <t xml:space="preserve">Обеспечение и развитие системы обратной связи с потребителями муниципальных услуг в сфере начального общего, основного общего, среднего общего образования </t>
  </si>
  <si>
    <t>Организация системы регулярного мониторинга удовлетворенности потребителей муниципальных услуг в сфере начального общего, основного общего, среднего общего образования детей (проведение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</si>
  <si>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Рассмотрение обращений граждан по вопросам предоставления  образования, принятие мер реагирования</t>
  </si>
  <si>
    <t>публикация на официальном сайте Администрации муниципального образования «Муниципальный округ Кезский район Удмуртской Республики» и поддержание в актуальном состоянии информации об Управлении образования Администрации муниципального образования «Муниципальный округ Кезский район Удмуртской Республики», его структурных подразделениях, а также муниципальных учреждений начального общего, основного общего, среднего общего образования, контактных телефонах и адресах электронной почты.</t>
  </si>
  <si>
    <t>Доступность сведений о структурах и должностных лицах, отвечающих за организацию и предоставление муниципальных услуг в сфере начального общего, основного общего, среднего общего образования , для населения (потребителей услуг)</t>
  </si>
  <si>
    <t>Предоставление дополнительного образования детям</t>
  </si>
  <si>
    <t>Оказание муниципальными учреждениями муниципальных услуг, выполнение работ, финансовое обеспечение деятельности муниципальных учреждений дополнительного образования, подведомственных Управлению образования</t>
  </si>
  <si>
    <t>Предоставление муниципальных услуг муниципальными образовательными организациями дополнительного образования детей, подведомственных Управлению образования</t>
  </si>
  <si>
    <t>01.3.1, 01.3.2, 01.3.4</t>
  </si>
  <si>
    <t>Оказание муниципальными учреждениями муниципальных услуг, выполнение работ, финансовое обеспечение деятельности муниципальных учреждений дополнительного образования, подведомственных Отделу культуры</t>
  </si>
  <si>
    <t>Отдел культуры</t>
  </si>
  <si>
    <t>Предоставление муниципальных услуг муниципальными образовательными организациями дополнительного образования детей, подведомственных Отделу культуры</t>
  </si>
  <si>
    <t>01.3.1, 01.3.2, 01.3.3,  01.3.4</t>
  </si>
  <si>
    <t>Проведение мероприятий в учреждениях дополнительного образования</t>
  </si>
  <si>
    <t>Организация, проведение районных соревнований и мероприятий, обеспечение участия представителей МО "Муниципальный округ Кезский район Удмуртской Республики" в конкурсах, смотрах, соревнованиях, турнирах  и  других мероприятиях на  республиканском, межрегиональном и российском уровнях. Расходы на проведение мероприятий, направленных на выявление и развитие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и обеспечение открытой и доступной информации о системе образования. Реализация регионального проекта "Успех каждого ребенка"</t>
  </si>
  <si>
    <t>Стимулирование учащихся и воспитанников муниципальных образовательных учреждений к достижению высоких результатов в учебно-воспитательном процессе, проведение мероприятий, способствующих повышению имижда сферы образования</t>
  </si>
  <si>
    <t>01.3.1, 01.3.2, 01.3.4, 01.3.5, 01.3.6.</t>
  </si>
  <si>
    <t>Обновление содержания программ и технологий дополнительного образования детей</t>
  </si>
  <si>
    <t>Разработка новых образовательных программ и проектов в сфере дополнительного образования детей, духовно-нравственного воспитания детей</t>
  </si>
  <si>
    <t>Управление образования,                        образовательные учреждения,                                Отдел культуры</t>
  </si>
  <si>
    <t>Повышение эффективности деятельности учреждений дополнительного образования</t>
  </si>
  <si>
    <t>01.3.1,01.3.2,01.3.4, 01.3.5, 01.3.6</t>
  </si>
  <si>
    <t>Выпуск методических сборников, методических пособий по вопросам организации дополнительного образования детей; реализация комплекса мероприятий по методическому, организационному, кадровому обеспечению дополнительного образования детей</t>
  </si>
  <si>
    <t>Повышение эффективности деятельности учреждений дополнительного образования, обеспечение условий для внедрения нормативных правовых актов в практику работы, оказание методической помощи работникам дополниьтельнго образования, распространение опыта работы, обмен информацией, совершенствование системы подготовки кадров</t>
  </si>
  <si>
    <t>01.3.1,01.3.2,01.3.4</t>
  </si>
  <si>
    <t xml:space="preserve">Проведение семинаров, совещаний по распространению успешного опыта организации дополнительного образования детей </t>
  </si>
  <si>
    <t>Деятельность муниципальных учреждений дополнительного образования детей  в качестве районных опорных учреждений, функционирование регионального навигатора в системе дополнительного образования детей</t>
  </si>
  <si>
    <t>Управление образования,                         учреждения дополнительного образования,                                Отдел культуры</t>
  </si>
  <si>
    <t>Повышение эффективности деятельности учреждений дополнительного образования, обеспечение возможности выбора дополнительных общеобразовательных программ соответствующих запросам, уровню подготовки и способностям детей с различными образовательными потребностями и возможностями</t>
  </si>
  <si>
    <t>01.3.1,01.3.2,01.3.3, 01.3.4, 01.3.5</t>
  </si>
  <si>
    <t>Укрепление материально-технической базы муниципальных образовательных организаций дополнительного образования</t>
  </si>
  <si>
    <t>Материально-техническое обеспечение образовательной деятельности, оборудование помещений в соответствии с государственными и местными нормами и требованиями, в том числе в соответствии с ФГОС, федеральными государственными требованиями, образовательными стандартами;</t>
  </si>
  <si>
    <t xml:space="preserve">материально-техническое обеспечение образовательной деятельности, оборудования помещений в соответствии с государственными и местными нормами и требованиями,в том числе в соответствии с ФГОС, федеральными государственными требованиями, образовательными стандартами                 </t>
  </si>
  <si>
    <t>01.3.1, 01.3.2, 01.3.3, 01.3.4</t>
  </si>
  <si>
    <t>улучшение инфраструктуры муниципальных образовательных учреждений  дополнительного образования</t>
  </si>
  <si>
    <t>01.3.4</t>
  </si>
  <si>
    <t>.</t>
  </si>
  <si>
    <t xml:space="preserve">Обеспечение и развитие системы обратной связи с потребителями муниципальных услуг в сфере дополнительного образования </t>
  </si>
  <si>
    <t>Организация системы регулярного мониторинга удовлетворенности потребителей муниципальных услуг в сфере дополнительного образования детей(проведение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</si>
  <si>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01.3.1,01.3.2,01.3.3,01.3.4, 01.6.1, 01.6.2</t>
  </si>
  <si>
    <t>Рассмотрение обращений граждан по вопросам предоставления дополнительного образования , принятие мер реагирования</t>
  </si>
  <si>
    <t>Публикация на официальном сайте Администрации муниципального образования «Муниципальный округ Кезский район Удмуртской Республики» и поддержание в актуальном состоянии информации об Управлении образования Администрации муниципального образования «Муниципальный округ Кезский район Удмуртской Республики», его структурных подразделениях, а также муниципальных учреждений дополнительного образования, контактных телефонах и адресах электронной почты.</t>
  </si>
  <si>
    <t>Доступность сведений о структурах и должностных лицах, отвечающих за организацию и предоставление муниципальных услуг в сфере дополнительного образования , для населения (потребителей услуг)</t>
  </si>
  <si>
    <t xml:space="preserve">Внедрение современных условий реализации программ:
1)специальных адаптированных дополнительных общеобразовательных программ для детей с ограниченными возможностями здоровья, детей-инвалидов;
2)новых образовательных форм (сетевое, электронное и другие)
</t>
  </si>
  <si>
    <t>Реализация специальных адаптированных дополнительных общеобразовательных программ для детей с ограниченными возможностями здоровья, детей-инвалидов;
новых образовательных форм (сетевое, электронное и другие)</t>
  </si>
  <si>
    <t xml:space="preserve">Софинасирование программ (проектов) в сфере дополнительного образования детей. Обеспечение поэтапного доступа социально-ориентированных некоммерческих организаций, осуществляющих деятельность в социальной сфере, к бюджетным средствам, выделяемым на предоставление социальных услуг обучающимся </t>
  </si>
  <si>
    <t xml:space="preserve">Участие образовательных учреждений района  в российских, республиканских, муниципальных конкурсах. Обеспечение доступа социально-ориентированных некоммерческих орагнизаций к реализации мер по развитию научно-образовательной и творческогй среды в образовательных учреждениях, развитие эффективнгой системы дополнительного образования детей. </t>
  </si>
  <si>
    <t>01.3.1,01.3.2,01.3.3,01.3.4</t>
  </si>
  <si>
    <t>Формирование современных управленческих и организационно-экономических механизмов в системе дополнительного образования (персонифицированное финанисирование).</t>
  </si>
  <si>
    <t>Применение механизма перехода к нормативно-подушевому финансированию реализации реализации дополнительных общеобразовательных программ; создание равных условий доступа к финансированию за счет бюджетных ассигн6ований муниципальных организаций дополнительного образования</t>
  </si>
  <si>
    <t>Участие в реализации регионального проекта "Успех каждого ребенка". Создание в общеобразовательных учреждениях, расположенных в сельской местности, условий для занятия физической культурой и спортом.</t>
  </si>
  <si>
    <t>Формирование эффективной системы выявления, поддержки и развития способностей и талантов у детей и молодежи, основанной на принципах справедливости, всеобщности и направленной на самоопределение и профессиональную ориентацию всех обучающихся. Создание условий обучающимся школ для занятий физической культурой и спортом.</t>
  </si>
  <si>
    <t xml:space="preserve">01.3.1, 01.3.5, 01.3.6, 01.3.8, 01.3.09 </t>
  </si>
  <si>
    <t>Проведение мероприятий для детей и молодежи</t>
  </si>
  <si>
    <t xml:space="preserve"> Мероприятия, напрвленные на патриотическое воспитание граждан</t>
  </si>
  <si>
    <t>Администрация Кезского района, Отдел культуры, туризма, спорта и молодежной политики,  учреждения культуры, Управление образования, образовательные учреждения,  МБУ СМК "Олимп"</t>
  </si>
  <si>
    <t xml:space="preserve">Углубление знаний об истории родного края, воспитание чуства патриотизма, готовности служить Отечеству и активной гражданской позиции, увековечивание памяти и воспитания уважения к российским гражданам, погибшим при исполнении воинского долга. </t>
  </si>
  <si>
    <t>01.4.2; 01.4.3; 01.4.5</t>
  </si>
  <si>
    <t xml:space="preserve">Поддержка детских и молодежных общественных объединений. </t>
  </si>
  <si>
    <t xml:space="preserve">Отдел культуры, туризма,с порта и молодежной политики, Управление образования,  образовательные учреждения </t>
  </si>
  <si>
    <t xml:space="preserve">Поддержка и развитие клубной деятельности  для детей и молодежи;
- Совершенствование форм и методов проведения мероприятий;
- Поддержка молодежных инициатив, обеспечение возможностей для личностной самореализации развитие деятельности, направленной на решение социальных проблем  молодежи                         
</t>
  </si>
  <si>
    <t>01.4.1; 01.4.3</t>
  </si>
  <si>
    <t xml:space="preserve">Организация и проведение мероприятий с молодыми семьями                                                                                                                                           </t>
  </si>
  <si>
    <t xml:space="preserve">Поддержка и развитие клубной деятельности  для молодых семей, 
- Совершенствование форм и методов проведения мероприятий;
- Профилактика семейного неблагополучия
</t>
  </si>
  <si>
    <t xml:space="preserve">Организация и проведение профилактических мероприятий для молодежи </t>
  </si>
  <si>
    <t xml:space="preserve">Совершенствование форм и методов работы по профилактической деятельности среди молодежи. Профилактика безнадзорности среди подростков. Проведение мероприятий по профилатике наркомании, СПИД и ВИЧ, табакокурения, алгоколизма и т.д. </t>
  </si>
  <si>
    <t>01.4.1; 01.4.3; 01.4.4; 01.4.5</t>
  </si>
  <si>
    <t xml:space="preserve">Организация и проведение мероприятий для работающей молодежи                                                     </t>
  </si>
  <si>
    <t>Администрация Кезского района, Отдел культуры, туризма, спорта и молодежной политики,  учреждения культуры,   МБУ СМК "Олимп"</t>
  </si>
  <si>
    <t>Увеличение доли молодежи всех категорий, принимающей участие в  районных мероприятиях  (спортивных, тематических, интеллектуальных, гражданско-патриотических, досуговых, профилактических) от общего числа молодых граждан, совершенствование форм и методов проведения мероприятий.</t>
  </si>
  <si>
    <t>01.4.2; 01.4.5</t>
  </si>
  <si>
    <t>Организация временного трудоустройства подростков, деятельность временных детских разновозрастных отрядов, вариативных программ в сфере отдахы детей и молодежи</t>
  </si>
  <si>
    <t xml:space="preserve">содействие   занятости  подростков и молодежи в летний и каникулярный период;
-  оказание методической помощи в организации летней и каникулярной занятости детей и молодежи
</t>
  </si>
  <si>
    <t>01.4.3; 01.4.4</t>
  </si>
  <si>
    <t>Реализация проектов молодежного инициативного бюджетирования</t>
  </si>
  <si>
    <t>Отдел культуры, туризма, спорта и молодежной политики, Администрация Кезского района</t>
  </si>
  <si>
    <t>Обеспечение осуществления отбора проектов молодежного инициативного бюджетирования</t>
  </si>
  <si>
    <t>01.4.1; 01.4.2; 01.4.3; 01.4.5</t>
  </si>
  <si>
    <t>Оздоровление и отдых детей</t>
  </si>
  <si>
    <t>Организация и проведение пришкольных оздоровительных лагерей на базе ОУ</t>
  </si>
  <si>
    <t>Управление образования, образовательные учреждения, КЦСОН</t>
  </si>
  <si>
    <t>Обеспечение занятости несовершеннолетних, профилактика безнадзорности, оздоровление детей и подростков</t>
  </si>
  <si>
    <t>01.5.1</t>
  </si>
  <si>
    <t>Организация и проведение лагерей труда и отдыха</t>
  </si>
  <si>
    <t>Обеспечение занятости несовершеннолетних, профилактика безнадзорности</t>
  </si>
  <si>
    <t>Организация и проведение профильных смен</t>
  </si>
  <si>
    <t>Обеспечение питанием учащихся за счет родительской платы</t>
  </si>
  <si>
    <t>Повышение эффективности оздоровления детей</t>
  </si>
  <si>
    <t>Содействие в организации отдыха и оздоровления подростков от 14 до 18 лет</t>
  </si>
  <si>
    <t>Сектор по работе с молодежью, Управление образования, образовательные учреждения</t>
  </si>
  <si>
    <t>Содействие организации занятости несовершеннолетних, создание дополнительных рабочих мест для несовершеннолетних</t>
  </si>
  <si>
    <t>Сектор по делам молодежи, Управление образования, образовательные учреждения, Отдел культуры, ЦЗН</t>
  </si>
  <si>
    <t>Обеспечение занятости несовершеннолетних, профилактика безнадзорности, трудоустройство подростков</t>
  </si>
  <si>
    <t>Организация временных детских разновозрастных коллективов (ВДРК) на территории района</t>
  </si>
  <si>
    <t>Сектор по работе с молодежью, Отдел культуры, Управление образования</t>
  </si>
  <si>
    <t>Сектор по работе с  молодежью, Управление образования, образовательные учреждения</t>
  </si>
  <si>
    <t>Создание организованного отдыха по разным направлениям деятельности</t>
  </si>
  <si>
    <t>Отдых и оздоровление детей, находящихся в трудной жизненной ситуации, по линии Отдела социальной защиты населения</t>
  </si>
  <si>
    <t>ОСЗН, КЦСОН,  Отдел семьи, опеки и попечительства, Управление образования, образовательные учреждения</t>
  </si>
  <si>
    <t>Направление детей, находящихся в трудной жизненной ситуации, на отдых и оздоровление в загородные оздоровительные лагеря</t>
  </si>
  <si>
    <t xml:space="preserve">Создание условий для реализации муниципальной программы </t>
  </si>
  <si>
    <t xml:space="preserve">Реализация установленных полномочий (функций) Управления образования </t>
  </si>
  <si>
    <t xml:space="preserve">Осуществление установленных полномочий Управления образования Администрации муниципального образования "Муниципальный округ Кезский район Удмуртской Республики", организация эффективного управления системой образования района.                                                                                                                                                                                                                                                                                                                                                                                                              </t>
  </si>
  <si>
    <t>2015-2026 годы</t>
  </si>
  <si>
    <t xml:space="preserve">Осуществление переданных органами государственной власти в соответствии с Федеральным законом от 29.12.2012 года №273-ФЗ "Об образовании в Российской Федерации" полномочий в сфере образования. </t>
  </si>
  <si>
    <t>01.6.7</t>
  </si>
  <si>
    <t>Обеспечение деятельности централизованных бухгалтерий и прочих учреждений</t>
  </si>
  <si>
    <t>Организация бухгалтерского учета в муниципальных образовательных учреждениях, подведомственных Управлению образования</t>
  </si>
  <si>
    <t>Осуществление бухгалтерского учета в муниципальных образовательных учреждениях, подведомственных Управлению образования</t>
  </si>
  <si>
    <t xml:space="preserve">Оказание муниципальными учреждениями муниципальных услуг, выполнение работ, финансовое обеспечение деятельности муниципальных учреждений, Централизованной бухгалтерии. Расходы на предоставление услуг доступа образовательным учреждениям к сети "Интернет".  Создание и содержание информационной среды образовательных учреждений. Участие в реализации регионального проекта "Цифровая образовательная среда"      </t>
  </si>
  <si>
    <t>Управление образования, образовательные учреждения, Централизованная бухгалтерия</t>
  </si>
  <si>
    <t xml:space="preserve">Обеспечение деятельности муниципальных учреждений. Формирование современной информационной и телекоммуникационной инфраструктуры для реализации задач управления системой образования. Создание современной и безопасной цифровой образовательной среды, обеспечивающей высокое качество и доступность образования всех видов и уровней. </t>
  </si>
  <si>
    <t>01.6.8</t>
  </si>
  <si>
    <t>Укрепление материально-технической базы Управления образования. Реализация мероприятий по обновлению материально-технической базы образовательных учреждений для формирования у обучающихся современных технологических и гуманитарных навыков.</t>
  </si>
  <si>
    <t>Совершенствование материально-технической базы Управления образования, образовательных учреждений</t>
  </si>
  <si>
    <t xml:space="preserve">Расходы по подготовке образовательных учреждений к лицензированию и государственной акредитации.          </t>
  </si>
  <si>
    <t>Управление образования, Централизованная бухгалтерия, образовательные учреждения</t>
  </si>
  <si>
    <t>Приведение учреждений в соответствие требованиям, предъявляемым к образовательным учреждениям при лицензировании (переоформлении лицензий и (или) приложений к лицензиям) и при государственной аккредитации.</t>
  </si>
  <si>
    <t>Организационно-методическое обеспечение</t>
  </si>
  <si>
    <t xml:space="preserve">Организационно-методическое и информационное обеспечение деятельности образовательных учреждений. Модернизация технологий и содержания обучения в соответствии с новым ФГОС посредством разработки концепций модернизации конкретных областей, поддержки программ развития образования и поддержки сетевых методических объединений. </t>
  </si>
  <si>
    <t xml:space="preserve">Повышение эффективности деятельности образовательных учреждений. Модернизация технологий и содержания обучения в соответствии с новым ФГОС, направленная на повышение качества образования в школах с низкими результатами обучения и в школах, функционирующих в сложных социальных условиях. </t>
  </si>
  <si>
    <t>01.6.9, 01.6.12</t>
  </si>
  <si>
    <t>Организация повышения квалификации педагогических работников, руководителей муниципальных образовательных учреждений  Кезского района. Участие в реализации регионального проекта "Учитель будущего ". Участие в реализации регионального проекта "Новые возможности для каждого". Участие в реализации регионального проекта "Лифты для каждого"</t>
  </si>
  <si>
    <t>Обеспечение муниципальных образовательных учреждений квалифицированными кадрами. Внедрение национальной системы профессионального роста педагогических работников для системы образования. Формирование системы непрерывного обновления работающими гражданами  своих профессиональных знаний и приобретения ими новых порфессиональных навыков, включая овладение компетенциями в областицифровой экономики всеми желающими. Формирование системы профессиональных конкурсов в целях предоставления гражданам возможностей для профессионального и карьерного роста</t>
  </si>
  <si>
    <t>01.6.2, 01.6.5</t>
  </si>
  <si>
    <t>Организация и проведение аттестации руководителей, педагогических работников муниципальных образовательных учреждений, подведомственных Управлению образования</t>
  </si>
  <si>
    <t>Обеспечение муниципальных образовательных учреждений квалифицированными кадрами</t>
  </si>
  <si>
    <t xml:space="preserve">Организация и проведение мероприятий в области образования </t>
  </si>
  <si>
    <t xml:space="preserve">Организация и проведение мероприятий с учащимися и воспитанниками образовательных учреждений МО «Кезский район».                                                                                      - Расходы на проведение мероприятий, направленных на выявление и развитие интеллектуальных и творческих способностей, способностей к занятиям физической культурой и спортом, интереса к научной (научно-исследовательской) деятельности и обеспечение открытой и доступной информации о системе образования;                                                                                              - расходы на обеспечение текущей деятельности в сфере установленных функций;                                                                                                                            </t>
  </si>
  <si>
    <t xml:space="preserve"> Управление образования, образовательные учреждения</t>
  </si>
  <si>
    <t>Стимулирование учащихся и воспитанников муниципальных образовательных учреждений к достижению результатов в учебно-воспитательном процессе. Проведение мероприятий, способствующих повышению имиджа сферы образования</t>
  </si>
  <si>
    <t xml:space="preserve">Организация и проведение мероприятий с  педагогическими работниками                                                                                                                                                                                             </t>
  </si>
  <si>
    <t xml:space="preserve">Стимулирование педагогических кадров муниципальных образовательных учреждений к достижению результатов профессиональной служебной деятельности. </t>
  </si>
  <si>
    <t>01.6.10, 01.6.11</t>
  </si>
  <si>
    <t>Выплата премии учащимся и воспитанникам образовательных учреждений, добившимся высоких результатов в области общего и дополнительного образования</t>
  </si>
  <si>
    <t xml:space="preserve">Стимулирование учащихся и воспитанников муниципальных образовательных учреждений к достижению результатов в учебно-воспитательном процессе. </t>
  </si>
  <si>
    <t>Организация работ по повышению эффективности деятельности муниципальных образовательных учреждений, создание условий для развития негосударственного сектора в сфере образования</t>
  </si>
  <si>
    <t>Удовлетворенность потребителей качеством предоставляемых услуг</t>
  </si>
  <si>
    <t>Организация работ по уточнению ведомственного перечня муниципальных услуг в сфере образования.</t>
  </si>
  <si>
    <t>Муниципальный правовой акт. Уточнение перечня муниципальных услуг в целях возможности установления четкого задания и контроля за его выполнением, расчета финансового обеспечения задания</t>
  </si>
  <si>
    <t>Организация разработки муниципальных правовых актов, позволяющих размещать муниципальный заказ на оказание муниципальных услуг по предоставлению дошкольного образования, дополнительного образования детей в негосударственных организациях; размещение муниципального заказа на оказание соответствующих услуг на конкурсной основе, в том числе – в негосударственном секторе.</t>
  </si>
  <si>
    <t>Развитие негосударственного сектора в сфере образования (дошкольное образование, дополнительное образование детей). Создание конкурентной среды, способствующей повышению эффективности деятельности муниципальных образовательных учреждений</t>
  </si>
  <si>
    <t>Реализация системы мотивации руководителей и педагогических работников муниципальных образовательных учреждений на достижение результатов профессиональной служебной деятельности, заключению эффективных контрактов с руководителями и педагогическими работниками муниципальных образовательных учреждений.</t>
  </si>
  <si>
    <t>Повышение эффективности и результативности деятельности системы образования, привлечение в сферу квалифицированных и инициативных специалистов</t>
  </si>
  <si>
    <t>01.6.14</t>
  </si>
  <si>
    <t>Организация работ по разработке и внедрению системы независимой оценки качества образования: организаций, реализующих образовательные программы дошкольного, начального, основного, среднего общего, дополнительного образования.                                                                                            Оценка качества предоставляемых образовательных услуг в образовательных учреждениях.                                                    Развитие системы оценки качества образования, в том числе создание условий для формирования системы оценки качества.</t>
  </si>
  <si>
    <t xml:space="preserve">Внедрение системы независимой оценки качества образования, проведение независимой оценки на муниципальном и региональном уровнях в организациях, реализующих образовательные программы дошкольного, начального, основного, среднего общего (в том числе адаптированные),  дополнительного образования, разработка и реализация плана работы по результатам оценки мер, направленных на повышение качества образования. Проведение мониторинговых исследований и оценка качества предоставляемых образовательных услуг в образовательных учреждениях                     </t>
  </si>
  <si>
    <t>Организация работ по информированию населения об организации предоставления дошкольного, общего, дополнительного образования детей в муниципальном образовании "Муниципальный округ Кезский район Удмуртской Республики"</t>
  </si>
  <si>
    <t>Обеспечение открытости данных в сфере образования</t>
  </si>
  <si>
    <t>Реализация комплекса мер по внедрению единых (групповых) значений нормативных затрат с использованием корректирующих показателей для расчета субсидий на оказание муниципальных услуг по предоставлению  образования (организаций, реализующих образовательные программы дошкольного образования, организаций, реализующих образовательные программы начального, основного, среднего общего образования, организаций, реализующих образовательные программы дополнительного образования) (по решению МОиН УР).</t>
  </si>
  <si>
    <t>Приложение 1</t>
  </si>
  <si>
    <t>к муниципальной программе</t>
  </si>
  <si>
    <t>муниципального образования "Муниципальный округ Кезский район Удмуртской Республики"</t>
  </si>
  <si>
    <t>"Развитие образования и воспитание"</t>
  </si>
  <si>
    <t>Сведения о составе и значениях целевых показателей (индикаторов) муниципальной программы</t>
  </si>
  <si>
    <t>Код аналитической программной классификации</t>
  </si>
  <si>
    <t>№ п/п</t>
  </si>
  <si>
    <t>Наименование целевого показателя (индикатора)</t>
  </si>
  <si>
    <t>Единица измерения</t>
  </si>
  <si>
    <t>Значения целевых показателей (индикаторов)</t>
  </si>
  <si>
    <t>1 этап</t>
  </si>
  <si>
    <t>2 этап</t>
  </si>
  <si>
    <t>2013 год</t>
  </si>
  <si>
    <t>2014 год</t>
  </si>
  <si>
    <t>2015 год</t>
  </si>
  <si>
    <t>2016 год</t>
  </si>
  <si>
    <t>2017 год</t>
  </si>
  <si>
    <t>2018 год</t>
  </si>
  <si>
    <t>2019 год</t>
  </si>
  <si>
    <t>2022 год</t>
  </si>
  <si>
    <t>2023 год</t>
  </si>
  <si>
    <t>2024 год</t>
  </si>
  <si>
    <t>2025 год</t>
  </si>
  <si>
    <t>2026 год</t>
  </si>
  <si>
    <t>2027 год</t>
  </si>
  <si>
    <t>2028 год</t>
  </si>
  <si>
    <t>МП</t>
  </si>
  <si>
    <t>Пп</t>
  </si>
  <si>
    <t>отчёт</t>
  </si>
  <si>
    <t>прогноз</t>
  </si>
  <si>
    <t>01</t>
  </si>
  <si>
    <t>1</t>
  </si>
  <si>
    <t>Развитие дошкольного образования</t>
  </si>
  <si>
    <t>Доступность дошкольного образования для детей в возрасте от 3 до 7 лет (отношение численности детей в возрасте от 3 до 7 лет, получающих дошкольное образование в текущем году, к сумме численности детей в возрасте от 3 до 7 лет, получающих дошкольное образование в текущем году, и численности детей в возрасте от 3 до 7 лет, находящихся в очереди на получение в текущем году дошкольного образования).</t>
  </si>
  <si>
    <t>%</t>
  </si>
  <si>
    <t>Доступность дошкольного образования для детей в возрасте от 1,5 до 3 лет (отношение численности детей в возрасте от 1,5 до 3 лет, получающих дошкольное образование в текущем году, к сумме численности детей в возрасте от 1,5 до 3 лет, получающих дошкольное образование в текущем году, и численности детей в возрасте от 1,5 до 3 лет, находящихся в очереди на получение в текущем году дошкольного образования).</t>
  </si>
  <si>
    <t>Количество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</si>
  <si>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ед. </t>
  </si>
  <si>
    <t>Удельный вес численности воспитанников, обучающихся по образовательным программам, соответствующим требованиям ФГОС дошкольного образования, в общей численности воспитанников образовательных организаций, реализующих программы дошкольного образования.</t>
  </si>
  <si>
    <t>Доля детей-инвалидов, детей-сирот и детей, оставшихся без попечения родителей, а также детей с туберкулезной интоксикацией, родители (законные представители) которых освобождены от платы за присмотр и уход в муниципальных образовательных организациях, реализующих образовательную программу дошкольного образования, в общем количестве детей-инвалидов, детей-сирот и детей, оставшихся без попечения родителей, а также детей с туберкулезной интоксикацией, родители (законные представители) которых заявили о праве на освобождение от платы за присмотр и уход в муниципальных образовательных организациях реализующих образовательную программу дошкольного образования, процентов</t>
  </si>
  <si>
    <t>Количество дополнительных мест для детей в возрасте от 2 мес. до 3 лет в образовательных организациях, осуществляющих образовательную деятельность по образовательным программам дошкольного образования.</t>
  </si>
  <si>
    <t>ед.</t>
  </si>
  <si>
    <t>Численность воспитанников в возрасте до трех лет, посещающих государственные и муниципальные организации, осуществляющие образовательную деятельность по образовательным программам дошкольного образования, присмотр и уход, человек.</t>
  </si>
  <si>
    <t>чел.</t>
  </si>
  <si>
    <t>Отношение среднемесячной заработной платы педагогических работников образовательных организаций, реализующих программы дошкольного образования, (из всех источников) к средней заработной плате в сфере общего образования Удмуртской Республики, процентов.</t>
  </si>
  <si>
    <t>Отношение численности детей 5 - 7 лет, которым предоставлена возможность получать услуги дошкольного образования, к численности детей в возрасте 5 - 7 лет, скорректированной на численность детей в возрасте 5 - 7 лет, обучающихся в школе.</t>
  </si>
  <si>
    <t xml:space="preserve"> Количество услуг психолого-педагогической, методической, диагностической и консультативной помощи родителям (законным представителям) детей в возрасте от 0 до 7 лет, а также гражданам, желающим принять на воспитание в свои семьи детей, оставшихся без попечения родителей  нарастающим итогом с 2019 года.</t>
  </si>
  <si>
    <t>Доля граждан, положительно оценивших качество услуг психолого-педагогической, методической и консультативной помощи, от общего числа обратившихся за получением услуги.</t>
  </si>
  <si>
    <t>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t>
  </si>
  <si>
    <t>Удельный вес численности детей, получающих дошкольное образование в частных образовательных организациях, в общей численности детей, получающих дошкольное образование.</t>
  </si>
  <si>
    <t>Доля дошкольных образовательных организаций, в которых создана универсальная безбарьерная среда для инклюзивного образования детей-инвалидов, в общем количестве дошкольных образовательных организаций.</t>
  </si>
  <si>
    <t>2</t>
  </si>
  <si>
    <t>Развитие общего образования</t>
  </si>
  <si>
    <t>Обеспеченность общеобразовательных учреждений региональными учебными изданиями, соответствующими ФГОС</t>
  </si>
  <si>
    <t>Обеспеченность общеобразовательных учреждений учебниками по ФГОС начального общего, основного общего, среднего общего образования</t>
  </si>
  <si>
    <t>Доля общеобразовательных учреждений, показавших низкие образовательные результаты по итогам учебного года, и общеобразовательных учреждений, функционирующих в неблагоприятных социальных условиях, в отношении которых реализуются мероприятия по повышению качества образования, в общем количестве общеобразовательных учреждений, показавших низкие образовательные результаты по итогам учебного года, и общеобразовательных учреждений, функционирующих в неблагоприятных социальных условиях, процентов;</t>
  </si>
  <si>
    <t>Доля учителей общеобразовательных организаций в возрасте до 35 лет в общей численности учителей общеобразовательных организаций, процентов;</t>
  </si>
  <si>
    <t>Доля педагогических работников образовательных организаций, прошедших переподготовку или повышение квалификации по вопросам образования обучающихся с ограниченными возможностями здоровья и инвалидностью, в общей численности педагогических работников, процентов.</t>
  </si>
  <si>
    <t>Доля учащихся, обеспеченных подвозом до места учёбы, от количества нуждающихся</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</si>
  <si>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t>
  </si>
  <si>
    <t>Доля общеобразовательных учреждений, в которых создана универсальная безбарьерная среда для инклюзивного образования детей-инвалидов, в общем количестве общеобразовательных учреждений</t>
  </si>
  <si>
    <t>Количество новых мест в общеобразовательных учреждениях</t>
  </si>
  <si>
    <t>Удельный весчисленности учащихся, занимающихся в первую смену, в общей численности учащихся общеобразовательных учреждений</t>
  </si>
  <si>
    <t>Доля образовательных учреждений, в которых обновлено содержание и методы обучения предметной области "Технология" и других предметных областей</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</si>
  <si>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</si>
  <si>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 xml:space="preserve">Удельный вес учащихся организаций общего образования, обучающихся в соответствии с новым федеральным государственным образовательным стандартом </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</si>
  <si>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t>
  </si>
  <si>
    <t>Расходы бюджета муниципального образования на общее образование в расчете на 1 обучающегося в муниципальных общеобразовательных учреждениях</t>
  </si>
  <si>
    <t>тыс. руб.</t>
  </si>
  <si>
    <t>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</si>
  <si>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Число общеобразовательных учреждений, обновивших материально-техническую базу для реализации основных и дополнительных общеобразовательных программ цифрового, естественнонаучного, гуманитарного и технологического профилей, нарастающим итогом к 2018 году</t>
  </si>
  <si>
    <t>Численность учащихся, охваченных основными и дополнительными общеобразовательными программами цифрового, естественнонаучного, гуманитарного и технологического профилей, нарастающим итогом к 2018 году</t>
  </si>
  <si>
    <t>тыс. чел</t>
  </si>
  <si>
    <t>Обеспечение выплат компенсации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</si>
  <si>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3</t>
  </si>
  <si>
    <t>Дополнительное образование и воспитание  детей</t>
  </si>
  <si>
    <t>Отношение среднемесячной заработной платы педагогов учреждений дополнительного образования детей к среднемесячной заработной плате учителей в Удмуртской Республике</t>
  </si>
  <si>
    <t>Доля детей в возрасте 5-18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 процентов.</t>
  </si>
  <si>
    <t>Доля детей в возрасте 5-18 лет, использующих сертификаты дополнительного образования в статусе сертификатов персонифицированного финансирования, процентов.</t>
  </si>
  <si>
    <t>Доля детей в возрасте 5-18 лет, охваченных дополнительными образовательными программами технической и естественнонаучной направленности,</t>
  </si>
  <si>
    <t>Доля средств бюджета муниципального образования, выделяемых социально ориентированным некоммерческим организациям, в общем объеме средств, выделяемых на предоставление услуг в сфере дополнительного образования детей</t>
  </si>
  <si>
    <t>Доля детей в возрасте 5-18 лет, получающих дополнительное образование с использованием сертификата дополнительного образования, в общей численности детей, получающих дополнительное образование за счет бюджетных средств</t>
  </si>
  <si>
    <t>Доля детей в возрасте 5-18 лет, использующих сертификаты дополнительного образования в статусе сертификатов персонифицированного финансирования</t>
  </si>
  <si>
    <t>не менее 10</t>
  </si>
  <si>
    <t>Увеличение доли обучающихся, занимающихся физической культурой и спортом во внеурочное время, в общем количестве обучающихся, за исключением дошкольного образования</t>
  </si>
  <si>
    <t>начальное общее образование</t>
  </si>
  <si>
    <t>среднее общее образование</t>
  </si>
  <si>
    <t>основное общее образование</t>
  </si>
  <si>
    <t>Доля детей-инвалидов в возрасте от 5 до 18 лет, получающих дополнительное образование, в общей численности детей-инвалидов данного возраста</t>
  </si>
  <si>
    <t>Число участников открытых онлайн-уроков, реализуемых с учетом опыта цикла открытых уроков «Проектория», «Уроки настоящего» или иных ана-логичных по возможностям, функциям и результатам проектах, направленных на раннюю профориентацию</t>
  </si>
  <si>
    <t>Число детей, получивших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нарастающим итогом</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</si>
  <si>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</si>
  <si>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Доля детей в возрасте 5 - 18 лет с ограниченными возможностями здоровья,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с ограниченными возможностями здоровья этой возрастной группы</t>
  </si>
  <si>
    <t>Удельный вес численности педагогических работников в возрасте до 35 лет образовательных организаций дополнительного образования детей в общей их численности</t>
  </si>
  <si>
    <t>не менее 33%</t>
  </si>
  <si>
    <t>не менее 33</t>
  </si>
  <si>
    <t>Доля муниципальных учреждений дополнительного образования детей, здания которых находятся в аварийном состоянии или требуют капитального ремонта, в общем количестве муниципальных учреждений дополнительного образования детей</t>
  </si>
  <si>
    <t>4</t>
  </si>
  <si>
    <t>Реализация молодежной политики</t>
  </si>
  <si>
    <t>Доля  молодежи, участвующей в деятельности МДОО, органов молодежного самоуправления в общей численности молодежи</t>
  </si>
  <si>
    <t>Доля молодых  граждан, участвующих  в мероприятиях по патриотическому воспитанию по отношению к общему количеству  молодых  граждан.</t>
  </si>
  <si>
    <t>Количество молодежи, участвующей в мероприятиях, направленных на профилактику негативных социальных явлений</t>
  </si>
  <si>
    <t>Охват несовершеннолетних организованными формами отдыха и занятости несовершенноелтних в каникулярный период (деятельность врменных детских разновозрастных отрядов, вариативных программ в сфере отдыха детей и молодежи, организация временного трудоустройтсва несовершеннолетних)</t>
  </si>
  <si>
    <t>Доля граждан, вовлеченных в добровольческую деятельность</t>
  </si>
  <si>
    <t>5</t>
  </si>
  <si>
    <t xml:space="preserve">Организация отдыха, оздоровления и занятости детей, подростков и молодежи </t>
  </si>
  <si>
    <t>Удельный вес детей, подростков и молодежи, охваченных всеми формами отдыха, оздоровления и занятости (к общему числу детей от 6,5 до 18 лет), в том числе однодневными походами и экскурсиями</t>
  </si>
  <si>
    <t>Удельный вес детей, подростков и молодежи, находящихся в трудной жизненной ситуации, охваченных всеми формами отдыха, оздоровления и занятости(к общему числу детей,охваченных всеми формами отдыха и оздоровления), в том числе однодневными походами и экскурсиями</t>
  </si>
  <si>
    <t>Удельный вес детей, подростков и молодежи, состоящих на различных видах профилактического учета, охваченных всеми формами отдыха, оздоровления и занятости (к общему числу детей, состоящих на различных видах профилактического учета), в том числе однодневными походами и экскурсиями</t>
  </si>
  <si>
    <t>6</t>
  </si>
  <si>
    <t>Создание условий для реализации муниципальной программы</t>
  </si>
  <si>
    <t>Удельный вес численности учителей общеобразовательных учреждений в возрасте до 35 лет в общей численности учителей общеобразовательных учреждений (применяется с 2016 года)</t>
  </si>
  <si>
    <t>не менее 21</t>
  </si>
  <si>
    <t>Доля педагогических работников образовательных учреждений , прошедших переподготовку или повышение квалификации по вопросам образования обучающихся с ОВЗ и инвалидностью, в общей численности педагогических работников (применяется с 2016 года)</t>
  </si>
  <si>
    <t>Доля педагогических работников, имеющих высшее образование,в общей численности педагогических работников, осуществляющих образовательную деятельность по образовательным программам дошкольного образования, общего образования, дополнительного образования</t>
  </si>
  <si>
    <t>Укомплектованность педагогическими кадрами общеобразовательных организаций в сельской местности (без учета внешнего совмещения)</t>
  </si>
  <si>
    <t>Доля учителей, осовивших методику преподавания по межпредметным технологиям и реализующих ее в образовательном процессе, в общей численности учителей (с 2015 года)</t>
  </si>
  <si>
    <t>Доля учителей общеобразовательных организаций, имеющих стаж педагогической работы до 5 лет включительно, в общей численности учителей</t>
  </si>
  <si>
    <t>Количество заключенных Соглашений (с Дорожными картами) о сопровождении проектов в соответствии с Регламентом "Одно окно" (с 2017 года)</t>
  </si>
  <si>
    <t>не менее 1</t>
  </si>
  <si>
    <t>Доля образовательных организаций, расположенных на террритории Кезского района, обеспеченных Интернет-соединением со скоростью соединения  не менее 50Мб, а ттакже гарантированным Интернет-трафиком (с 2019 года)</t>
  </si>
  <si>
    <t>Доля педагогических работников, прошедших повышение квалификации в рамках периодической аттестации в цифровой форме с использованием информационного ресурса "одного окна" ("Современная цифоровая образовательная среда в Российской Федерации") (с 2019 года)</t>
  </si>
  <si>
    <t>Доля учителей общеобразовательных организаций, вовлеченных в национальную систему профессионального роста педагогических работников (с 2020 года)</t>
  </si>
  <si>
    <t>Проведено конкурсов профессионального и карьерного роста (с 2019 года)</t>
  </si>
  <si>
    <r>
      <t xml:space="preserve">Обеспечено участие граждан в конкурсах профессионального и карьерного роста, </t>
    </r>
    <r>
      <rPr>
        <u/>
        <sz val="8"/>
        <color indexed="8"/>
        <rFont val="Times New Roman"/>
      </rPr>
      <t>человек</t>
    </r>
    <r>
      <rPr>
        <sz val="8"/>
        <color indexed="8"/>
        <rFont val="Times New Roman"/>
      </rPr>
      <t>.</t>
    </r>
  </si>
  <si>
    <t>Доля педагогических работников муниципальных образовательных организаций, получивших  в установленном порядке первую и высшую квалификационные категории, в общей численности педагогических работников муниципальных образовательных организаций (до 2019 года)</t>
  </si>
  <si>
    <t>Доля педагогических работников муниципальных образовательных организаций с высшим образованием, в общей численности педагогических работников муниципальных образовательных организаций (до 2019 года)</t>
  </si>
  <si>
    <t xml:space="preserve">Отношение среднемесячной заработной платы педагогических работников образовательных учреждений к средней заработной плате в Удмуртской Республике (до 2019 года) </t>
  </si>
  <si>
    <t>Приложение 2</t>
  </si>
  <si>
    <t>Перечень основных мероприятий муниципальной программы</t>
  </si>
  <si>
    <t>Наименование подпрограммы, основного мероприятия, мероприятия</t>
  </si>
  <si>
    <t>Ответственный исполнитель, соисполнители</t>
  </si>
  <si>
    <t>Срок выполнения</t>
  </si>
  <si>
    <t>Ожидаемый непосредственный результат</t>
  </si>
  <si>
    <t>Взаимосвязь с целевыми показателями (индикаторами)</t>
  </si>
  <si>
    <t>ОМ</t>
  </si>
  <si>
    <t>М</t>
  </si>
  <si>
    <t>Оказание муниципальной услуги «Прием заявлений о зачислении в муниципальные образовательные учреждения, реализующие основную образовательную программу дошкольного образования (детские сады), а также постановка на соответствующий учет»</t>
  </si>
  <si>
    <t>Управление образования</t>
  </si>
  <si>
    <t>2022-2028 годы</t>
  </si>
  <si>
    <t>Учет детей, претендующих на получение дошкольного образования в образовательных учреждениях, реализующих основную образовательную программу дошкольного образования в муниципальном образовании "Муниципальный округ Кезский район Удмуртской Республики"</t>
  </si>
  <si>
    <t>01.1.1, 01.1.2, 01.1.3, 01.1.4</t>
  </si>
  <si>
    <t>02</t>
  </si>
  <si>
    <t>Предоставление дошкольного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</si>
  <si>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</si>
  <si>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Управление образования, образовательные учреждения</t>
  </si>
  <si>
    <t>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</si>
  <si>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01.1.1, 01.1.2, 01.1.3, 01.1.8, 01.1.9, 01.1.10</t>
  </si>
  <si>
    <t>Оказание муниципальными организациями муниципальных услуг, выполнение работ, финансовое обеспечение деятельности муниципальных организаций дошкольного образования</t>
  </si>
  <si>
    <t>Обеспечение условий для получения общедоступного бесплатного дошкольного образования в образовательных организациях регионального значения</t>
  </si>
  <si>
    <t>Финансовое обеспечение получения дошкольного образования в частных дошкольных образовательных организациях</t>
  </si>
  <si>
    <t>Развитие негосударственного сектора на рынке дошкольного образования и поддержка частных дошкольных организаций и индивидуальных предпринимателей, реализующих программы дошкольного образования</t>
  </si>
  <si>
    <t>01.1.5, 01.1.6</t>
  </si>
  <si>
    <t>03</t>
  </si>
  <si>
    <t>Строительство дошкольных образовательных учреждений на территории муниципального образования "Муниципальный округ Кезский район Удмуртской Республики"</t>
  </si>
  <si>
    <t>Ввод дополнительных  мест в дошкольных образовательных организациях</t>
  </si>
  <si>
    <t>01.1.1, 01.1.2, 01.1.3, 01.1.8, 01.1.9</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</si>
  <si>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</si>
  <si>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Увеличение количества детей в возрасте от 2 месяцев до 3 лет, обучающихся по образовательным программам дошкольного образования</t>
  </si>
  <si>
    <t>04</t>
  </si>
  <si>
    <t>Организация системы регулярного мониторинга удовлетворенности потребителей муниципальных услуг в сфере дошкольного образования (проведение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</si>
  <si>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</si>
  <si>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01.1.1, 01.1.2, 01.1.3</t>
  </si>
  <si>
    <t>05</t>
  </si>
  <si>
    <t xml:space="preserve">Укрепление материально-технической базы муниципальных дошкольных образовательных учреждений.                                                
</t>
  </si>
  <si>
    <t>Укрепление материально-технической базы образовательных организаций</t>
  </si>
  <si>
    <t>01.1.1, 01.1.2, 01.1.3, 01.1.7</t>
  </si>
  <si>
    <t>Материально-техническое обеспечение образовательной деятельности, оборудование помещений в соответствии с государственными и местными нормами и требованиями, в том числе в соответствии с ФГОС и иными государственными требованиями.</t>
  </si>
  <si>
    <t>Реализация образовательных программ в соответствии с государственными и местными нормами и требованиями, в том числе в соответствии с ФГОС и иными государственными требованиями.</t>
  </si>
  <si>
    <t>01.1.1, 01.1.2, 01.1.4</t>
  </si>
  <si>
    <t>Расходы на подготовку учреждений к новому учебному году, отопительному сезону и выполнению требований по лицензированию</t>
  </si>
  <si>
    <t>Создание безопасных и соответствующих современным требованиям условий для обучения</t>
  </si>
  <si>
    <t>01.1.1, 01.1.2, 01.1.3,  01.1.7</t>
  </si>
  <si>
    <t xml:space="preserve">Адаптация зданий образовательных учреждений, а также прилегающей территории для беспрепятственного доступа детей-инвалидов всех категорий с учетом их особых потребностей, оборудование зданий образовательных организаций специальными устройствами;                                                                          </t>
  </si>
  <si>
    <t>Создание условий для беспрепятственного доступа детей-инвалидов всех категорий с учетом их особых потребностей в здания и на прилегающую территорию ДОУ.</t>
  </si>
  <si>
    <t>Поддержка образования для детей с ограниченными возможностями здоровья.</t>
  </si>
  <si>
    <t>Создание соврменных условий по поддержке образования для детей с ограниченными возможностями здоровья в организациях, осуществляющих образовательную деятельность  по адаптированным программам</t>
  </si>
  <si>
    <t>06</t>
  </si>
  <si>
    <t>Мероприятия по проведению капитального ремонта и реконструкции объектов муниципальной собственности</t>
  </si>
  <si>
    <t xml:space="preserve">Улучшение инфраструктуры муниципальных дошкольных образовательных учреждений  </t>
  </si>
  <si>
    <t>07</t>
  </si>
  <si>
    <t>Внедрение ФГОС дошкольного образования</t>
  </si>
  <si>
    <t>Организация работы республиканских  инновационных площадок, обеспечивающих разработку адаптированной образовательной программы и/или  части образовательной программы с учетом региональных, национальных и этнокультурных особенностей</t>
  </si>
  <si>
    <t>Разработка части образовательной программы с учетом региональных, национальных и этнокультурных особенностей (региональная составляющая), разработка адаптированной образовательной программы.</t>
  </si>
  <si>
    <t>Организация работы районных  инновационных  площадок по ФГОС дошкольного образования</t>
  </si>
  <si>
    <t>Апробация региональной составляющей на районных  инновационных площадках и распространение успешного опыта в муниципальные дошкольные образовательные организации</t>
  </si>
  <si>
    <t xml:space="preserve">Утверждение перечня требований к условиям организации дошкольного образования, соответствующим федеральным государственным стандартам </t>
  </si>
  <si>
    <t xml:space="preserve">Управление образования </t>
  </si>
  <si>
    <t>Муниципальный правовой акт</t>
  </si>
  <si>
    <t>08</t>
  </si>
  <si>
    <t xml:space="preserve">Обеспечение и развитие системы обратной связи с потребителями муниципальных услуг в сфере дошкольного образования </t>
  </si>
  <si>
    <t>Рассмотрение обращений граждан по вопросам предоставления дошкольного образования , принятие мер реагирования</t>
  </si>
  <si>
    <t>Рассмотрение обращений граждан, принятие мер реагирования</t>
  </si>
  <si>
    <t>01.1.1, 01.1.2, 01.1.3, 01.1.10, 01.1.11</t>
  </si>
  <si>
    <t>Публикация на официальном сайте Администрации муниципального образования «Муниципальный округ Кезский район Удмуртской Республики» и поддержание в актуальном состоянии информации об Управлении образования Администрации муниципального образования «Муниципальный округ Кезский район Удмуртской Республики», его структурных подразделениях, а также муниципальных учреждений дошкольного образования, контактных телефонах и адресах электронной почты.</t>
  </si>
  <si>
    <t xml:space="preserve">Управление образования, образовательные учреждения </t>
  </si>
  <si>
    <t>Доступность сведений о структурах и должностных лицах, отвечающих за организацию и предоставление муниципальных услуг в сфере дошкольного образования , для населения (потребителей услуг)</t>
  </si>
  <si>
    <t>01.1.1, 01.1.2, 01.1.3, 01.1.5, 01.1.6</t>
  </si>
  <si>
    <t>09</t>
  </si>
  <si>
    <t>Участие в реализации регионального проекта "Поддержка семей, имеющих детей":                                                                                                     - внедрение в Кезском районе целевой модели информационно-просветительской поддержки родителей, включающих создание, в том числе в дошкольных образовательных и общеобразовательных организациях, консультационных центров, обеспечивающих получение родителями детей дошкольного возраста методической, психолого-педагогической, в том числе диагностической и консультативной помощи, на безвозмездной основе;                                                                         - реализация программы психолого-педагогической, методической и консультативной помощи родителям ( законным представителям) через предоставление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t>
  </si>
  <si>
    <t xml:space="preserve">Создание условий для раннего развития детей в возрасте до 3 лет, реализация программы психолого-педагогической,  методической и консультативной помощи родителям детей, получающих дошкольное образование в семье. </t>
  </si>
  <si>
    <t>01.1.10, 01.1.11</t>
  </si>
  <si>
    <t>10</t>
  </si>
  <si>
    <t>Участие в реализации регионального проекта "Содействие занятости женщин - осздание условий дошкольного образования для детей в возрасте до 3 лет"</t>
  </si>
  <si>
    <t>Повышение доступности дошкольного образования для детей в возрасте до 3 лет</t>
  </si>
  <si>
    <t>01.1.1, 01.1.2, 01.1.7, 01.1.8, 01.1.9</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</si>
  <si>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дошколного образования</t>
  </si>
  <si>
    <t>Создание дополнительных мест, в том числе с обеспечением необходимых условий пребывания детей с ОВЗ и детей - инвалидов в образовательных организациях, осуществляющих образовательную деятельность по образовательным программам дошколного образования, для детей в возрасте от 1,5 до 3 лет</t>
  </si>
  <si>
    <t>01.1.1,01.1.2, 01.1.7, 01.1.8, 01.1.9</t>
  </si>
  <si>
    <t>Создание групп дошкольного образования, присмотра и ухода за детьми дошкольного возраста</t>
  </si>
  <si>
    <t>Создание групп дошкольного образования, присмотра и ухода за детьми дошкольного возраста за счет субсидии из федерального бюджета, бюджета Удмуртской Республики с учетом приоритетности региональных программ Удмуртской Республики</t>
  </si>
  <si>
    <t>11</t>
  </si>
  <si>
    <t>Детское и школьное питание</t>
  </si>
  <si>
    <t>Создание системы обеспечения питанием детей дошкольного возраста</t>
  </si>
  <si>
    <t>Обеспечение качественным сбалансированным питанием учащихся образовательных организаций Удмуртской Республики разных социальных групп</t>
  </si>
  <si>
    <t xml:space="preserve">Обеспечение питанием детей дошкольного возраста </t>
  </si>
  <si>
    <t>Обеспечение качественным сбалансированным питанием учащихся образовательных учрежденийразных социальных групп</t>
  </si>
  <si>
    <t>12</t>
  </si>
  <si>
    <t>Проведение мероприятий по материально-техническому перевооружению и модернизации пищеблоков учреждений дошкольного образования</t>
  </si>
  <si>
    <t>Модернизация пищеблоков дошкольных образовательных учреждений</t>
  </si>
  <si>
    <t>Разработка и утверждение системы мероприятий по динамическому наблюдению за состоянием здоровья детей дошкольного возраста</t>
  </si>
  <si>
    <t>Управление образования,                        БУЗ УР "Кезская районная больница",                                      образовательные учреждения</t>
  </si>
  <si>
    <t>Улучшение качественных показателей здоровья и социального положения детей дошкольного возраста</t>
  </si>
  <si>
    <t>01.1.1,01.1.2, 01.1.3</t>
  </si>
  <si>
    <t>Предоставление общего образования</t>
  </si>
  <si>
    <t>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а такжедополнительного образования в муниципальных общеобразовательных организациях</t>
  </si>
  <si>
    <t xml:space="preserve">01.2.1, 01.2.2, 01.2.3, 01.2.4, 01.2.5 </t>
  </si>
  <si>
    <t>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</si>
  <si>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</si>
  <si>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</si>
  <si>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Оказание муниципальными учреждениями общего образования муниципальных услуг, выполнение работ, финансовое обеспечение деятельности муниципальных учреждений общего образования</t>
  </si>
  <si>
    <t>Повышение качества образования в школах с низкими результатами обучения и в школах, функционирующих в неблагоприятных социальных условиях, путём реализации региональных проектов и распространение их результатов</t>
  </si>
  <si>
    <t>внедрение современных моделей поддержки школ с низскими результатами обучения и функционирующими в сложных соцальных условиях</t>
  </si>
  <si>
    <t xml:space="preserve"> 01.2.4</t>
  </si>
  <si>
    <t>Предоставление педагогическим работникам государственных и муниципальных образовательных организаций в Удмуртской Республике,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 ежемесячного денежного вознаграждения за классное руководство</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</si>
  <si>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</si>
  <si>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2023-2028 годы</t>
  </si>
  <si>
    <t>Предоставление общего образования для обучающихся с ограниченными возможностями здоровья</t>
  </si>
  <si>
    <t>01.2.1</t>
  </si>
  <si>
    <t>Организация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</si>
  <si>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Предоставление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детям с особенностями физического развития и детям-инвалидам</t>
  </si>
  <si>
    <t>Укрепление материально-технической базы муниципальных общеобразовательных организаций. Государственное обеспечение дополнительных гарантий по социальной поддержке обучающихся.</t>
  </si>
  <si>
    <t>Государственное обеспечение дополнительных гарантий по социальной поддержке обучающихся. Создание безопасных и соответствующих современным требованиям условий для обучения</t>
  </si>
  <si>
    <t>Материально-техническое обуспечение образовательной деятельности в соответствии с ФГОС; реализация мероприятий по модернизации инфраструктуры общего образования, по обновлению материально-технической базы для формирования у обучающихся современных технологических и гуманитарных навыков</t>
  </si>
  <si>
    <t>реализация образовательных программ в соотвествии с ФГО; обновление материально-технической базы общеобразовательных учреждений, обновление содержания и технологий преподавания общеобразовательных программ</t>
  </si>
  <si>
    <t>Обеспечение в образовательной организации, имеющей интернат, необходимых условий содержания обучающихся</t>
  </si>
  <si>
    <t>обеспечение учащихся, не обеспеченных ежедневнм подвозом, условиями для обучения в ОУ при проживании в интернате</t>
  </si>
  <si>
    <t>Создание условий для занятий обучающихся физической культурой и спортом</t>
  </si>
  <si>
    <t>наличие в ОУ условий для занятий обучающимися физической культурой и спортом</t>
  </si>
  <si>
    <t>Проведение  мероприятий по подготовке учреждений к новому учебному году, отопительному сезону</t>
  </si>
  <si>
    <t>Оборудование помещений, прилегающей территории  в соответствии с современными требованиями</t>
  </si>
  <si>
    <t>Приобретение бланков документов об образовании и (или) о квалификации</t>
  </si>
  <si>
    <t>Обеспечение выпускников, освоивших образовательные программы основного общего и среднего общего образования и успешно прошедших государственную итоговую аттестацию, документами об образовании соответствующего уровня</t>
  </si>
  <si>
    <t>факт</t>
  </si>
  <si>
    <t>план</t>
  </si>
  <si>
    <t xml:space="preserve"> Доля общеобразовательных учреждений, реализующих адаптированные основные общеобразовательные программы, в которых созданы современные материально-технические условия в соответствии с ФГОС образования обучающихся с ОВЗ, в общем количестве общеобразовательных учреждений, реализующих адаптированные основные общеобразовательные программы</t>
  </si>
  <si>
    <t>к Постановлению</t>
  </si>
  <si>
    <t>Администрации  муниципального образования "Муниципальный округ Кезский район Удмуртской Республики"</t>
  </si>
  <si>
    <t>от 28.12.2024 г.  №2180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</si>
  <si>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</si>
  <si>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Ю4</t>
  </si>
  <si>
    <t>На реализацию мероприятий по модернизации школьных систем образования (оснащение общеобразовательных организаций средствами обучения и воспитания)</t>
  </si>
  <si>
    <t>Ю6</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</si>
  <si>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</si>
  <si>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Е2</t>
  </si>
  <si>
    <t>Расходы на оплату труда отдельных категорий работников муниципальных дошкольных образовательных организаций и муниципальных общеобразовательных организаций</t>
  </si>
  <si>
    <t xml:space="preserve">01.1.1, 01.1.2, 01.1.3, 01.1.8, 01.1.9, 01.1.10, 01.2.1, 01.2.2, 01.2.3, 01.2.4, 01.2.5 </t>
  </si>
  <si>
    <t>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t>
  </si>
  <si>
    <t>Я2</t>
  </si>
  <si>
    <t>Предоставление мер социальной поддержки многодетным семьям (бесплатное питание для обучающихся общеобразовательных организаций)</t>
  </si>
  <si>
    <t xml:space="preserve">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</si>
  <si>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Укрепление материально-технической базы муниципальных дошкольных  образовательных организаций за счет дотации по обеспечению сбалансированности бюджетов</t>
  </si>
  <si>
    <t>L</t>
  </si>
  <si>
    <t>01201L3030</t>
  </si>
  <si>
    <t>012052304V</t>
  </si>
  <si>
    <r>
      <t xml:space="preserve">Обеспечение учащихся образовательных учреждений всеми видами питания: обеспечение питанием учащихся </t>
    </r>
    <r>
      <rPr>
        <sz val="8.5"/>
        <color rgb="FFFF0000"/>
        <rFont val="Times New Roman"/>
      </rPr>
      <t>5-11</t>
    </r>
    <r>
      <rPr>
        <sz val="8.5"/>
        <rFont val="Times New Roman"/>
      </rPr>
      <t>-х классов образовательных учреждений из малообеспеченных семей (кроме детей из многодетных малообеспеченных семей), в том числе из неполных семей (реализация подпрограммы «Детское и школьное питание» государственной программы Удмуртской Республики "Развитие образования")</t>
    </r>
  </si>
  <si>
    <r>
      <t>Обеспечение учащихся образовательных учреждений всеми видами питания: обеспечение питанием учащихся</t>
    </r>
    <r>
      <rPr>
        <sz val="8.5"/>
        <color rgb="FFFF0000"/>
        <rFont val="Times New Roman"/>
      </rPr>
      <t xml:space="preserve"> 5-11</t>
    </r>
    <r>
      <rPr>
        <sz val="8.5"/>
        <rFont val="Times New Roman"/>
      </rPr>
      <t>-х классов образовательных учреждений из малообеспеченных семей (кроме детей из многодетных малообеспеченных семей), в том числе из неполных семей (реализация подпрограммы «Детское и школьное питание» государственной программы Удмуртской Республики "Развитие образования")</t>
    </r>
  </si>
  <si>
    <t>Оказание муниципальными учреждениями муниципальных услуг, выполнение работ, финансовое обеспечение деятельности муниципальных образовательных учреждений дополнительного образования детей</t>
  </si>
  <si>
    <t>0130562240</t>
  </si>
  <si>
    <t>Расходы за счет безвозмездных поступлений</t>
  </si>
  <si>
    <t>0130553300</t>
  </si>
  <si>
    <t>635</t>
  </si>
  <si>
    <t>611, 851</t>
  </si>
</sst>
</file>

<file path=xl/styles.xml><?xml version="1.0" encoding="utf-8"?>
<styleSheet xmlns="http://schemas.openxmlformats.org/spreadsheetml/2006/main">
  <numFmts count="2">
    <numFmt numFmtId="164" formatCode="0.0"/>
    <numFmt numFmtId="165" formatCode="#,##0.0"/>
  </numFmts>
  <fonts count="46">
    <font>
      <sz val="11"/>
      <color theme="1"/>
      <name val="Calibri"/>
    </font>
    <font>
      <sz val="11"/>
      <color indexed="8"/>
      <name val="Calibri"/>
    </font>
    <font>
      <sz val="11"/>
      <name val="Calibri"/>
    </font>
    <font>
      <sz val="9"/>
      <name val="Times New Roman"/>
    </font>
    <font>
      <sz val="10"/>
      <name val="Times New Roman"/>
    </font>
    <font>
      <b/>
      <sz val="10"/>
      <name val="Times New Roman"/>
    </font>
    <font>
      <b/>
      <sz val="9"/>
      <name val="Times New Roman"/>
    </font>
    <font>
      <sz val="8.5"/>
      <name val="Times New Roman"/>
    </font>
    <font>
      <b/>
      <sz val="8.5"/>
      <name val="Times New Roman"/>
    </font>
    <font>
      <b/>
      <sz val="11"/>
      <color indexed="8"/>
      <name val="Calibri"/>
    </font>
    <font>
      <b/>
      <sz val="11"/>
      <color indexed="10"/>
      <name val="Calibri"/>
    </font>
    <font>
      <sz val="11"/>
      <color indexed="10"/>
      <name val="Calibri"/>
    </font>
    <font>
      <sz val="8.5"/>
      <color indexed="8"/>
      <name val="Times New Roman"/>
    </font>
    <font>
      <sz val="8.5"/>
      <color indexed="10"/>
      <name val="Times New Roman"/>
    </font>
    <font>
      <sz val="8.5"/>
      <name val="Calibri"/>
    </font>
    <font>
      <sz val="8"/>
      <color indexed="8"/>
      <name val="Times New Roman"/>
    </font>
    <font>
      <sz val="8"/>
      <name val="Courier New"/>
    </font>
    <font>
      <sz val="10"/>
      <color indexed="8"/>
      <name val="Calibri"/>
    </font>
    <font>
      <sz val="10"/>
      <name val="Calibri"/>
    </font>
    <font>
      <sz val="12"/>
      <color indexed="10"/>
      <name val="Times New Roman"/>
    </font>
    <font>
      <b/>
      <sz val="11"/>
      <name val="Calibri"/>
    </font>
    <font>
      <sz val="8.5"/>
      <color indexed="48"/>
      <name val="Times New Roman"/>
    </font>
    <font>
      <sz val="10"/>
      <color indexed="8"/>
      <name val="Times New Roman"/>
    </font>
    <font>
      <sz val="7"/>
      <name val="Times New Roman"/>
    </font>
    <font>
      <i/>
      <sz val="8.5"/>
      <name val="Times New Roman"/>
    </font>
    <font>
      <sz val="12"/>
      <color indexed="8"/>
      <name val="Times New Roman"/>
    </font>
    <font>
      <b/>
      <sz val="12"/>
      <color indexed="8"/>
      <name val="Times New Roman"/>
    </font>
    <font>
      <sz val="9"/>
      <color indexed="8"/>
      <name val="Times New Roman"/>
    </font>
    <font>
      <u/>
      <sz val="8"/>
      <color indexed="8"/>
      <name val="Times New Roman"/>
    </font>
    <font>
      <sz val="8.5"/>
      <color indexed="8"/>
      <name val="Times New Roman"/>
      <family val="1"/>
      <charset val="204"/>
    </font>
    <font>
      <sz val="8.5"/>
      <color indexed="8"/>
      <name val="Times New Roman"/>
      <family val="1"/>
      <charset val="204"/>
    </font>
    <font>
      <sz val="8.5"/>
      <name val="Times New Roman"/>
      <family val="1"/>
      <charset val="204"/>
    </font>
    <font>
      <sz val="11"/>
      <color indexed="8"/>
      <name val="Calibri"/>
      <family val="2"/>
      <charset val="204"/>
    </font>
    <font>
      <sz val="8"/>
      <name val="Calibri"/>
    </font>
    <font>
      <sz val="10"/>
      <name val="Times New Roman"/>
      <family val="1"/>
      <charset val="204"/>
    </font>
    <font>
      <b/>
      <sz val="8.5"/>
      <name val="Times New Roman"/>
      <family val="1"/>
      <charset val="204"/>
    </font>
    <font>
      <sz val="8.5"/>
      <color rgb="FF0066CC"/>
      <name val="Times New Roman"/>
    </font>
    <font>
      <sz val="8.5"/>
      <color rgb="FF3366FF"/>
      <name val="Times New Roman"/>
    </font>
    <font>
      <sz val="8.5"/>
      <color rgb="FF000000"/>
      <name val="Times New Roman"/>
    </font>
    <font>
      <sz val="10"/>
      <color rgb="FF000000"/>
      <name val="Times New Roman"/>
    </font>
    <font>
      <sz val="11"/>
      <color theme="1"/>
      <name val="Calibri"/>
      <scheme val="minor"/>
    </font>
    <font>
      <i/>
      <sz val="8.5"/>
      <color rgb="FF000000"/>
      <name val="Times New Roman"/>
    </font>
    <font>
      <b/>
      <sz val="8.5"/>
      <color rgb="FF000000"/>
      <name val="Times New Roman"/>
    </font>
    <font>
      <sz val="8.5"/>
      <color rgb="FFFF0000"/>
      <name val="Times New Roman"/>
    </font>
    <font>
      <b/>
      <sz val="10"/>
      <color rgb="FF000000"/>
      <name val="Times New Roman"/>
    </font>
    <font>
      <b/>
      <sz val="11"/>
      <color rgb="FF000000"/>
      <name val="Calibri"/>
    </font>
  </fonts>
  <fills count="15">
    <fill>
      <patternFill patternType="none"/>
    </fill>
    <fill>
      <patternFill patternType="gray125"/>
    </fill>
    <fill>
      <patternFill patternType="solid">
        <fgColor indexed="42"/>
      </patternFill>
    </fill>
    <fill>
      <patternFill patternType="solid">
        <fgColor indexed="27"/>
      </patternFill>
    </fill>
    <fill>
      <patternFill patternType="solid">
        <fgColor indexed="10"/>
      </patternFill>
    </fill>
    <fill>
      <patternFill patternType="solid">
        <fgColor indexed="43"/>
      </patternFill>
    </fill>
    <fill>
      <patternFill patternType="solid">
        <fgColor indexed="9"/>
      </patternFill>
    </fill>
    <fill>
      <patternFill patternType="solid">
        <fgColor indexed="13"/>
      </patternFill>
    </fill>
    <fill>
      <patternFill patternType="solid">
        <fgColor rgb="FFFFFFFF"/>
      </patternFill>
    </fill>
    <fill>
      <patternFill patternType="solid">
        <fgColor rgb="FFCCFFFF"/>
      </patternFill>
    </fill>
    <fill>
      <patternFill patternType="solid">
        <fgColor rgb="FFFFFF00"/>
        <bgColor indexed="64"/>
      </patternFill>
    </fill>
    <fill>
      <patternFill patternType="solid">
        <fgColor rgb="FFFFFF00"/>
      </patternFill>
    </fill>
    <fill>
      <patternFill patternType="solid">
        <fgColor rgb="FFCCFFCC"/>
      </patternFill>
    </fill>
    <fill>
      <patternFill patternType="solid">
        <fgColor rgb="FF00FF00"/>
      </patternFill>
    </fill>
    <fill>
      <patternFill patternType="solid">
        <fgColor rgb="FF00B0F0"/>
      </patternFill>
    </fill>
  </fills>
  <borders count="67">
    <border>
      <left/>
      <right/>
      <top/>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style="thin">
        <color indexed="23"/>
      </left>
      <right style="thin">
        <color indexed="23"/>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medium">
        <color indexed="63"/>
      </left>
      <right style="medium">
        <color indexed="63"/>
      </right>
      <top style="medium">
        <color indexed="63"/>
      </top>
      <bottom style="medium">
        <color indexed="63"/>
      </bottom>
      <diagonal/>
    </border>
    <border>
      <left/>
      <right style="medium">
        <color indexed="63"/>
      </right>
      <top style="medium">
        <color indexed="63"/>
      </top>
      <bottom style="medium">
        <color indexed="63"/>
      </bottom>
      <diagonal/>
    </border>
    <border>
      <left style="medium">
        <color indexed="63"/>
      </left>
      <right style="medium">
        <color indexed="63"/>
      </right>
      <top/>
      <bottom style="medium">
        <color indexed="63"/>
      </bottom>
      <diagonal/>
    </border>
    <border>
      <left/>
      <right style="medium">
        <color indexed="63"/>
      </right>
      <top/>
      <bottom style="medium">
        <color indexed="63"/>
      </bottom>
      <diagonal/>
    </border>
    <border>
      <left style="thin">
        <color indexed="23"/>
      </left>
      <right/>
      <top/>
      <bottom style="thin">
        <color indexed="23"/>
      </bottom>
      <diagonal/>
    </border>
    <border>
      <left style="thin">
        <color indexed="8"/>
      </left>
      <right/>
      <top/>
      <bottom/>
      <diagonal/>
    </border>
    <border>
      <left style="thin">
        <color indexed="23"/>
      </left>
      <right style="thin">
        <color indexed="23"/>
      </right>
      <top style="thin">
        <color indexed="23"/>
      </top>
      <bottom/>
      <diagonal/>
    </border>
    <border>
      <left/>
      <right/>
      <top style="thin">
        <color indexed="8"/>
      </top>
      <bottom style="thin">
        <color indexed="8"/>
      </bottom>
      <diagonal/>
    </border>
    <border>
      <left/>
      <right style="thin">
        <color indexed="8"/>
      </right>
      <top style="thin">
        <color indexed="8"/>
      </top>
      <bottom/>
      <diagonal/>
    </border>
    <border>
      <left/>
      <right/>
      <top style="thin">
        <color indexed="23"/>
      </top>
      <bottom/>
      <diagonal/>
    </border>
    <border>
      <left/>
      <right style="thin">
        <color indexed="23"/>
      </right>
      <top/>
      <bottom style="thin">
        <color indexed="23"/>
      </bottom>
      <diagonal/>
    </border>
    <border>
      <left/>
      <right/>
      <top style="thin">
        <color indexed="23"/>
      </top>
      <bottom style="thin">
        <color indexed="23"/>
      </bottom>
      <diagonal/>
    </border>
    <border>
      <left/>
      <right style="thin">
        <color indexed="8"/>
      </right>
      <top/>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dotted">
        <color rgb="FF000000"/>
      </right>
      <top style="dotted">
        <color rgb="FF000000"/>
      </top>
      <bottom style="dotted">
        <color rgb="FF00000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bottom style="thin">
        <color rgb="FF000000"/>
      </bottom>
      <diagonal/>
    </border>
    <border>
      <left style="thin">
        <color rgb="FF80808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808080"/>
      </left>
      <right style="thin">
        <color rgb="FF808080"/>
      </right>
      <top/>
      <bottom style="thin">
        <color rgb="FF808080"/>
      </bottom>
      <diagonal/>
    </border>
    <border>
      <left/>
      <right/>
      <top/>
      <bottom style="thin">
        <color rgb="FF000000"/>
      </bottom>
      <diagonal/>
    </border>
    <border>
      <left style="thin">
        <color rgb="FF808080"/>
      </left>
      <right style="thin">
        <color rgb="FF808080"/>
      </right>
      <top/>
      <bottom/>
      <diagonal/>
    </border>
    <border>
      <left/>
      <right/>
      <top style="thin">
        <color rgb="FF000000"/>
      </top>
      <bottom/>
      <diagonal/>
    </border>
    <border>
      <left/>
      <right style="thin">
        <color rgb="FF000000"/>
      </right>
      <top style="thin">
        <color rgb="FF000000"/>
      </top>
      <bottom/>
      <diagonal/>
    </border>
    <border>
      <left style="thin">
        <color rgb="FF808080"/>
      </left>
      <right/>
      <top style="thin">
        <color rgb="FF808080"/>
      </top>
      <bottom style="thin">
        <color rgb="FF808080"/>
      </bottom>
      <diagonal/>
    </border>
    <border>
      <left style="thin">
        <color rgb="FF808080"/>
      </left>
      <right/>
      <top/>
      <bottom style="thin">
        <color rgb="FF808080"/>
      </bottom>
      <diagonal/>
    </border>
    <border>
      <left style="thin">
        <color rgb="FF000000"/>
      </left>
      <right/>
      <top/>
      <bottom/>
      <diagonal/>
    </border>
    <border>
      <left style="thin">
        <color rgb="FF808080"/>
      </left>
      <right/>
      <top/>
      <bottom/>
      <diagonal/>
    </border>
    <border>
      <left style="thin">
        <color rgb="FF000000"/>
      </left>
      <right style="thin">
        <color rgb="FF000000"/>
      </right>
      <top/>
      <bottom/>
      <diagonal/>
    </border>
    <border>
      <left style="thin">
        <color rgb="FF000000"/>
      </left>
      <right/>
      <top style="thin">
        <color rgb="FF000000"/>
      </top>
      <bottom/>
      <diagonal/>
    </border>
    <border>
      <left style="thin">
        <color rgb="FF808080"/>
      </left>
      <right style="thin">
        <color rgb="FF808080"/>
      </right>
      <top style="thin">
        <color rgb="FF808080"/>
      </top>
      <bottom/>
      <diagonal/>
    </border>
    <border>
      <left style="thin">
        <color rgb="FF808080"/>
      </left>
      <right/>
      <top style="thin">
        <color rgb="FF808080"/>
      </top>
      <bottom/>
      <diagonal/>
    </border>
    <border>
      <left/>
      <right style="thin">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642">
    <xf numFmtId="0" fontId="1" fillId="0" borderId="0" xfId="0" applyNumberFormat="1" applyFont="1"/>
    <xf numFmtId="0" fontId="2" fillId="0" borderId="0" xfId="0" applyNumberFormat="1" applyFont="1"/>
    <xf numFmtId="0" fontId="2" fillId="0" borderId="0" xfId="0" applyNumberFormat="1" applyFont="1" applyAlignment="1">
      <alignment horizontal="center"/>
    </xf>
    <xf numFmtId="0" fontId="2" fillId="6" borderId="0" xfId="0" applyNumberFormat="1" applyFont="1" applyFill="1" applyAlignment="1">
      <alignment horizontal="center"/>
    </xf>
    <xf numFmtId="0" fontId="2" fillId="5" borderId="0" xfId="0" applyNumberFormat="1" applyFont="1" applyFill="1" applyAlignment="1">
      <alignment horizontal="center"/>
    </xf>
    <xf numFmtId="0" fontId="1" fillId="0" borderId="0" xfId="0" applyNumberFormat="1" applyFont="1" applyAlignment="1">
      <alignment horizontal="center"/>
    </xf>
    <xf numFmtId="0" fontId="3" fillId="0" borderId="0" xfId="0" applyNumberFormat="1" applyFont="1"/>
    <xf numFmtId="0" fontId="4" fillId="0" borderId="0" xfId="0" applyNumberFormat="1" applyFont="1"/>
    <xf numFmtId="0" fontId="4" fillId="0" borderId="0" xfId="0" applyNumberFormat="1" applyFont="1" applyAlignment="1">
      <alignment horizontal="center"/>
    </xf>
    <xf numFmtId="0" fontId="5" fillId="0" borderId="0" xfId="0" applyNumberFormat="1" applyFont="1" applyAlignment="1">
      <alignment horizontal="center"/>
    </xf>
    <xf numFmtId="0" fontId="6" fillId="0" borderId="0" xfId="0" applyNumberFormat="1" applyFont="1" applyAlignment="1">
      <alignment horizontal="center"/>
    </xf>
    <xf numFmtId="0" fontId="7" fillId="0" borderId="2" xfId="0" applyNumberFormat="1" applyFont="1" applyBorder="1" applyAlignment="1">
      <alignment horizontal="center" vertical="top" wrapText="1"/>
    </xf>
    <xf numFmtId="0" fontId="7" fillId="0" borderId="2" xfId="0" applyNumberFormat="1" applyFont="1" applyBorder="1" applyAlignment="1">
      <alignment horizontal="left" vertical="top" wrapText="1"/>
    </xf>
    <xf numFmtId="0" fontId="7" fillId="6" borderId="2" xfId="0" applyNumberFormat="1" applyFont="1" applyFill="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9" fillId="0" borderId="0" xfId="0" applyNumberFormat="1" applyFont="1"/>
    <xf numFmtId="49" fontId="8" fillId="3" borderId="2" xfId="0" applyNumberFormat="1" applyFont="1" applyFill="1" applyBorder="1" applyAlignment="1">
      <alignment horizontal="center" vertical="top" wrapText="1"/>
    </xf>
    <xf numFmtId="0" fontId="8" fillId="3" borderId="2" xfId="0" applyNumberFormat="1" applyFont="1" applyFill="1" applyBorder="1" applyAlignment="1">
      <alignment horizontal="center" vertical="top" wrapText="1"/>
    </xf>
    <xf numFmtId="0" fontId="10" fillId="0" borderId="0" xfId="0" applyNumberFormat="1" applyFont="1"/>
    <xf numFmtId="49" fontId="7" fillId="0" borderId="2" xfId="0" applyNumberFormat="1" applyFont="1" applyBorder="1" applyAlignment="1">
      <alignment horizontal="center" vertical="top" wrapText="1"/>
    </xf>
    <xf numFmtId="164" fontId="7" fillId="0" borderId="2" xfId="0" applyNumberFormat="1" applyFont="1" applyBorder="1" applyAlignment="1">
      <alignment horizontal="center" vertical="top" wrapText="1"/>
    </xf>
    <xf numFmtId="165" fontId="7" fillId="0" borderId="2" xfId="0" applyNumberFormat="1" applyFont="1" applyBorder="1" applyAlignment="1">
      <alignment horizontal="center" vertical="top" wrapText="1"/>
    </xf>
    <xf numFmtId="165" fontId="7" fillId="0" borderId="3" xfId="0" applyNumberFormat="1" applyFont="1" applyBorder="1" applyAlignment="1">
      <alignment horizontal="center" vertical="top" wrapText="1"/>
    </xf>
    <xf numFmtId="0" fontId="11" fillId="0" borderId="0" xfId="0" applyNumberFormat="1" applyFont="1"/>
    <xf numFmtId="0" fontId="12" fillId="0" borderId="2" xfId="0" applyNumberFormat="1" applyFont="1" applyBorder="1" applyAlignment="1">
      <alignment horizontal="left" vertical="top" wrapText="1"/>
    </xf>
    <xf numFmtId="0" fontId="11" fillId="0" borderId="2" xfId="0" applyNumberFormat="1" applyFont="1" applyBorder="1"/>
    <xf numFmtId="2" fontId="7" fillId="0" borderId="2" xfId="0" applyNumberFormat="1" applyFont="1" applyBorder="1" applyAlignment="1">
      <alignment horizontal="center" vertical="top" wrapText="1"/>
    </xf>
    <xf numFmtId="165" fontId="7" fillId="6" borderId="2" xfId="0" applyNumberFormat="1" applyFont="1" applyFill="1" applyBorder="1" applyAlignment="1">
      <alignment horizontal="center" vertical="top" wrapText="1"/>
    </xf>
    <xf numFmtId="165" fontId="7" fillId="6" borderId="3" xfId="0" applyNumberFormat="1" applyFont="1" applyFill="1" applyBorder="1" applyAlignment="1">
      <alignment horizontal="center" vertical="top" wrapText="1"/>
    </xf>
    <xf numFmtId="164" fontId="7" fillId="6" borderId="2" xfId="0" applyNumberFormat="1" applyFont="1" applyFill="1" applyBorder="1" applyAlignment="1">
      <alignment horizontal="center" vertical="top" wrapText="1"/>
    </xf>
    <xf numFmtId="164" fontId="7" fillId="0" borderId="2" xfId="0" applyNumberFormat="1" applyFont="1" applyBorder="1" applyAlignment="1">
      <alignment horizontal="center" vertical="top"/>
    </xf>
    <xf numFmtId="164" fontId="7" fillId="0" borderId="3" xfId="0" applyNumberFormat="1" applyFont="1" applyBorder="1" applyAlignment="1">
      <alignment horizontal="center" vertical="top"/>
    </xf>
    <xf numFmtId="4" fontId="7" fillId="0" borderId="2" xfId="0" applyNumberFormat="1" applyFont="1" applyBorder="1" applyAlignment="1">
      <alignment horizontal="center" vertical="top" wrapText="1"/>
    </xf>
    <xf numFmtId="4" fontId="7" fillId="6" borderId="2" xfId="0" applyNumberFormat="1" applyFont="1" applyFill="1" applyBorder="1" applyAlignment="1">
      <alignment horizontal="center" vertical="top" wrapText="1"/>
    </xf>
    <xf numFmtId="0" fontId="7" fillId="0" borderId="2" xfId="0" applyNumberFormat="1" applyFont="1" applyBorder="1" applyAlignment="1">
      <alignment horizontal="center" vertical="top"/>
    </xf>
    <xf numFmtId="0" fontId="7" fillId="0" borderId="3" xfId="0" applyNumberFormat="1" applyFont="1" applyBorder="1" applyAlignment="1">
      <alignment horizontal="center" vertical="top"/>
    </xf>
    <xf numFmtId="0" fontId="12" fillId="0" borderId="0" xfId="0" applyNumberFormat="1" applyFont="1" applyAlignment="1">
      <alignment wrapText="1"/>
    </xf>
    <xf numFmtId="4" fontId="7" fillId="6" borderId="3" xfId="0" applyNumberFormat="1" applyFont="1" applyFill="1" applyBorder="1" applyAlignment="1">
      <alignment horizontal="center" vertical="top" wrapText="1"/>
    </xf>
    <xf numFmtId="4" fontId="7" fillId="0" borderId="3" xfId="0" applyNumberFormat="1" applyFont="1" applyBorder="1" applyAlignment="1">
      <alignment horizontal="center" vertical="top" wrapText="1"/>
    </xf>
    <xf numFmtId="0" fontId="11" fillId="0" borderId="3" xfId="0" applyNumberFormat="1" applyFont="1" applyBorder="1"/>
    <xf numFmtId="165" fontId="7" fillId="0" borderId="2" xfId="0" applyNumberFormat="1" applyFont="1" applyBorder="1" applyAlignment="1">
      <alignment horizontal="right" vertical="top"/>
    </xf>
    <xf numFmtId="0" fontId="7" fillId="0" borderId="2" xfId="0" applyNumberFormat="1" applyFont="1" applyBorder="1" applyAlignment="1">
      <alignment wrapText="1"/>
    </xf>
    <xf numFmtId="49" fontId="7" fillId="6" borderId="2" xfId="0" applyNumberFormat="1" applyFont="1" applyFill="1" applyBorder="1" applyAlignment="1">
      <alignment horizontal="center" vertical="top" wrapText="1"/>
    </xf>
    <xf numFmtId="0" fontId="7" fillId="0" borderId="2" xfId="0" applyNumberFormat="1" applyFont="1" applyBorder="1" applyAlignment="1">
      <alignment horizontal="center" vertical="top" shrinkToFit="1"/>
    </xf>
    <xf numFmtId="0" fontId="7" fillId="0" borderId="3" xfId="0" applyNumberFormat="1" applyFont="1" applyBorder="1" applyAlignment="1">
      <alignment horizontal="center" vertical="top" shrinkToFit="1"/>
    </xf>
    <xf numFmtId="2" fontId="7" fillId="0" borderId="2" xfId="0" applyNumberFormat="1" applyFont="1" applyBorder="1" applyAlignment="1">
      <alignment horizontal="center" vertical="top" shrinkToFit="1"/>
    </xf>
    <xf numFmtId="2" fontId="7" fillId="0" borderId="3" xfId="0" applyNumberFormat="1" applyFont="1" applyBorder="1" applyAlignment="1">
      <alignment horizontal="center" vertical="top" shrinkToFit="1"/>
    </xf>
    <xf numFmtId="0" fontId="7" fillId="3" borderId="2" xfId="0" applyNumberFormat="1" applyFont="1" applyFill="1" applyBorder="1" applyAlignment="1">
      <alignment horizontal="center" vertical="top" wrapText="1"/>
    </xf>
    <xf numFmtId="0" fontId="12" fillId="0" borderId="0" xfId="0" applyNumberFormat="1" applyFont="1" applyAlignment="1">
      <alignment vertical="top" wrapText="1"/>
    </xf>
    <xf numFmtId="0" fontId="9" fillId="0" borderId="0" xfId="0" applyNumberFormat="1" applyFont="1" applyAlignment="1">
      <alignment vertical="center"/>
    </xf>
    <xf numFmtId="0" fontId="1" fillId="0" borderId="2" xfId="0" applyNumberFormat="1" applyFont="1" applyBorder="1"/>
    <xf numFmtId="0" fontId="15" fillId="0" borderId="2" xfId="0" applyNumberFormat="1" applyFont="1" applyBorder="1" applyAlignment="1">
      <alignment horizontal="justify"/>
    </xf>
    <xf numFmtId="0" fontId="1" fillId="0" borderId="5" xfId="0" applyNumberFormat="1" applyFont="1" applyBorder="1"/>
    <xf numFmtId="0" fontId="16" fillId="0" borderId="0" xfId="0" applyNumberFormat="1" applyFont="1"/>
    <xf numFmtId="0" fontId="2" fillId="6" borderId="0" xfId="0" applyNumberFormat="1" applyFont="1" applyFill="1" applyAlignment="1">
      <alignment horizontal="center" vertical="top"/>
    </xf>
    <xf numFmtId="0" fontId="2" fillId="6" borderId="0" xfId="0" applyNumberFormat="1" applyFont="1" applyFill="1" applyAlignment="1">
      <alignment horizontal="left" vertical="top"/>
    </xf>
    <xf numFmtId="49" fontId="2" fillId="6" borderId="0" xfId="0" applyNumberFormat="1" applyFont="1" applyFill="1" applyAlignment="1">
      <alignment horizontal="left" vertical="top"/>
    </xf>
    <xf numFmtId="0" fontId="17" fillId="0" borderId="0" xfId="0" applyNumberFormat="1" applyFont="1"/>
    <xf numFmtId="0" fontId="18" fillId="6" borderId="0" xfId="0" applyNumberFormat="1" applyFont="1" applyFill="1" applyAlignment="1">
      <alignment horizontal="center" vertical="top"/>
    </xf>
    <xf numFmtId="0" fontId="18" fillId="6" borderId="0" xfId="0" applyNumberFormat="1" applyFont="1" applyFill="1" applyAlignment="1">
      <alignment horizontal="left" vertical="top"/>
    </xf>
    <xf numFmtId="0" fontId="4" fillId="6" borderId="0" xfId="0" applyNumberFormat="1" applyFont="1" applyFill="1" applyAlignment="1">
      <alignment horizontal="left" vertical="top"/>
    </xf>
    <xf numFmtId="49" fontId="4" fillId="6" borderId="0" xfId="0" applyNumberFormat="1" applyFont="1" applyFill="1" applyAlignment="1">
      <alignment horizontal="left" vertical="top"/>
    </xf>
    <xf numFmtId="0" fontId="4" fillId="6" borderId="0" xfId="0" applyNumberFormat="1" applyFont="1" applyFill="1" applyAlignment="1">
      <alignment horizontal="left" vertical="top" wrapText="1"/>
    </xf>
    <xf numFmtId="49" fontId="4" fillId="6" borderId="0" xfId="0" applyNumberFormat="1" applyFont="1" applyFill="1" applyAlignment="1">
      <alignment horizontal="left" vertical="top" wrapText="1"/>
    </xf>
    <xf numFmtId="0" fontId="17" fillId="0" borderId="0" xfId="0" applyNumberFormat="1" applyFont="1" applyAlignment="1">
      <alignment wrapText="1"/>
    </xf>
    <xf numFmtId="0" fontId="5" fillId="6" borderId="0" xfId="0" applyNumberFormat="1" applyFont="1" applyFill="1" applyAlignment="1">
      <alignment horizontal="center" vertical="top"/>
    </xf>
    <xf numFmtId="0" fontId="5" fillId="6" borderId="0" xfId="0" applyNumberFormat="1" applyFont="1" applyFill="1" applyAlignment="1">
      <alignment horizontal="left" vertical="top"/>
    </xf>
    <xf numFmtId="0" fontId="13" fillId="0" borderId="6" xfId="0" applyNumberFormat="1" applyFont="1" applyBorder="1" applyAlignment="1">
      <alignment horizontal="left" vertical="top" wrapText="1"/>
    </xf>
    <xf numFmtId="0" fontId="19" fillId="0" borderId="0" xfId="0" applyNumberFormat="1" applyFont="1"/>
    <xf numFmtId="0" fontId="20" fillId="0" borderId="0" xfId="0" applyNumberFormat="1" applyFont="1"/>
    <xf numFmtId="0" fontId="11" fillId="7" borderId="0" xfId="0" applyNumberFormat="1" applyFont="1" applyFill="1"/>
    <xf numFmtId="0" fontId="11" fillId="4" borderId="0" xfId="0" applyNumberFormat="1" applyFont="1" applyFill="1"/>
    <xf numFmtId="0" fontId="7" fillId="0" borderId="6" xfId="0" applyNumberFormat="1" applyFont="1" applyBorder="1" applyAlignment="1">
      <alignment horizontal="left" vertical="top" wrapText="1"/>
    </xf>
    <xf numFmtId="0" fontId="7" fillId="0" borderId="0" xfId="0" applyNumberFormat="1" applyFont="1" applyAlignment="1">
      <alignment wrapText="1"/>
    </xf>
    <xf numFmtId="0" fontId="13" fillId="7" borderId="6" xfId="0" applyNumberFormat="1" applyFont="1" applyFill="1" applyBorder="1" applyAlignment="1">
      <alignment horizontal="left" vertical="top" wrapText="1"/>
    </xf>
    <xf numFmtId="0" fontId="7" fillId="6" borderId="0" xfId="0" applyNumberFormat="1" applyFont="1" applyFill="1" applyAlignment="1">
      <alignment vertical="top"/>
    </xf>
    <xf numFmtId="0" fontId="7" fillId="6" borderId="6" xfId="0" applyNumberFormat="1" applyFont="1" applyFill="1" applyBorder="1" applyAlignment="1">
      <alignment horizontal="left" vertical="top" wrapText="1"/>
    </xf>
    <xf numFmtId="0" fontId="21" fillId="6" borderId="0" xfId="0" applyNumberFormat="1" applyFont="1" applyFill="1" applyAlignment="1">
      <alignment vertical="top"/>
    </xf>
    <xf numFmtId="0" fontId="21" fillId="6" borderId="6" xfId="0" applyNumberFormat="1" applyFont="1" applyFill="1" applyBorder="1" applyAlignment="1">
      <alignment horizontal="left" vertical="top" wrapText="1"/>
    </xf>
    <xf numFmtId="0" fontId="13" fillId="0" borderId="8"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3" fillId="0" borderId="0" xfId="0" applyNumberFormat="1" applyFont="1" applyAlignment="1">
      <alignment horizontal="left" vertical="top" wrapText="1"/>
    </xf>
    <xf numFmtId="0" fontId="22" fillId="0" borderId="0" xfId="0" applyNumberFormat="1" applyFont="1"/>
    <xf numFmtId="0" fontId="4" fillId="0" borderId="0" xfId="0" applyNumberFormat="1" applyFont="1" applyAlignment="1">
      <alignment horizontal="left" indent="4"/>
    </xf>
    <xf numFmtId="0" fontId="22" fillId="0" borderId="0" xfId="0" applyNumberFormat="1" applyFont="1" applyAlignment="1">
      <alignment wrapText="1"/>
    </xf>
    <xf numFmtId="0" fontId="22" fillId="0" borderId="0" xfId="0" applyNumberFormat="1" applyFont="1" applyAlignment="1">
      <alignment horizontal="left" indent="4"/>
    </xf>
    <xf numFmtId="0" fontId="7" fillId="0" borderId="1"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49" fontId="7" fillId="3" borderId="1" xfId="0" applyNumberFormat="1" applyFont="1" applyFill="1" applyBorder="1" applyAlignment="1">
      <alignment horizontal="center" vertical="center"/>
    </xf>
    <xf numFmtId="49" fontId="7" fillId="0" borderId="1" xfId="0" applyNumberFormat="1" applyFont="1" applyBorder="1" applyAlignment="1">
      <alignment horizontal="center" vertical="center"/>
    </xf>
    <xf numFmtId="0" fontId="7" fillId="0" borderId="1" xfId="0" applyNumberFormat="1" applyFont="1" applyBorder="1" applyAlignment="1">
      <alignment horizontal="left" vertical="top" wrapText="1"/>
    </xf>
    <xf numFmtId="0" fontId="7" fillId="0" borderId="1" xfId="0" applyNumberFormat="1" applyFont="1" applyBorder="1" applyAlignment="1">
      <alignment horizontal="center" vertical="top" wrapText="1"/>
    </xf>
    <xf numFmtId="0" fontId="1" fillId="7" borderId="0" xfId="0" applyNumberFormat="1" applyFont="1" applyFill="1"/>
    <xf numFmtId="0" fontId="1" fillId="0" borderId="0" xfId="0" applyNumberFormat="1" applyFont="1" applyAlignment="1">
      <alignment wrapText="1"/>
    </xf>
    <xf numFmtId="165" fontId="1" fillId="0" borderId="0" xfId="0" applyNumberFormat="1" applyFont="1"/>
    <xf numFmtId="0" fontId="12" fillId="0" borderId="0" xfId="0" applyNumberFormat="1" applyFont="1" applyAlignment="1">
      <alignment horizontal="center"/>
    </xf>
    <xf numFmtId="0" fontId="12" fillId="0" borderId="0" xfId="0" applyNumberFormat="1" applyFont="1"/>
    <xf numFmtId="0" fontId="12" fillId="7" borderId="0" xfId="0" applyNumberFormat="1" applyFont="1" applyFill="1"/>
    <xf numFmtId="0" fontId="1" fillId="0" borderId="0" xfId="0" applyNumberFormat="1" applyFont="1" applyAlignment="1">
      <alignment horizontal="left"/>
    </xf>
    <xf numFmtId="0" fontId="7" fillId="0" borderId="0" xfId="0" applyNumberFormat="1" applyFont="1"/>
    <xf numFmtId="0" fontId="7" fillId="0" borderId="0" xfId="0" applyNumberFormat="1" applyFont="1" applyAlignment="1">
      <alignment horizontal="center"/>
    </xf>
    <xf numFmtId="0" fontId="8" fillId="0" borderId="0" xfId="0" applyNumberFormat="1" applyFont="1" applyAlignment="1">
      <alignment horizontal="center"/>
    </xf>
    <xf numFmtId="165" fontId="12" fillId="0" borderId="0" xfId="0" applyNumberFormat="1" applyFont="1"/>
    <xf numFmtId="0" fontId="7" fillId="0" borderId="0" xfId="0" applyNumberFormat="1" applyFont="1" applyAlignment="1">
      <alignment horizontal="left" vertical="center" wrapText="1"/>
    </xf>
    <xf numFmtId="0" fontId="7" fillId="0" borderId="0" xfId="0" applyNumberFormat="1" applyFont="1" applyAlignment="1">
      <alignment horizontal="center" vertical="center" wrapText="1"/>
    </xf>
    <xf numFmtId="165" fontId="7" fillId="0" borderId="0" xfId="0" applyNumberFormat="1" applyFont="1" applyAlignment="1">
      <alignment horizontal="center" vertical="center" wrapText="1"/>
    </xf>
    <xf numFmtId="0" fontId="24" fillId="0" borderId="0" xfId="0" applyNumberFormat="1" applyFont="1" applyAlignment="1">
      <alignment horizontal="left" vertical="center" wrapText="1"/>
    </xf>
    <xf numFmtId="0" fontId="24" fillId="0" borderId="0" xfId="0" applyNumberFormat="1" applyFont="1" applyAlignment="1">
      <alignment horizontal="center" vertical="center" wrapText="1"/>
    </xf>
    <xf numFmtId="0" fontId="12" fillId="2" borderId="0" xfId="0" applyNumberFormat="1" applyFont="1" applyFill="1"/>
    <xf numFmtId="0" fontId="12" fillId="2" borderId="0" xfId="0" applyNumberFormat="1" applyFont="1" applyFill="1" applyAlignment="1">
      <alignment horizontal="left" vertical="top"/>
    </xf>
    <xf numFmtId="165" fontId="12" fillId="2" borderId="0" xfId="0" applyNumberFormat="1" applyFont="1" applyFill="1"/>
    <xf numFmtId="0" fontId="12" fillId="0" borderId="0" xfId="0" applyNumberFormat="1" applyFont="1" applyAlignment="1">
      <alignment horizontal="left" vertical="top"/>
    </xf>
    <xf numFmtId="0" fontId="12" fillId="0" borderId="0" xfId="0" applyNumberFormat="1" applyFont="1" applyAlignment="1">
      <alignment horizontal="left" vertical="top" wrapText="1"/>
    </xf>
    <xf numFmtId="165" fontId="12" fillId="2" borderId="0" xfId="0" applyNumberFormat="1" applyFont="1" applyFill="1" applyAlignment="1">
      <alignment horizontal="left" vertical="top"/>
    </xf>
    <xf numFmtId="0" fontId="7" fillId="0" borderId="11" xfId="0" applyNumberFormat="1" applyFont="1" applyBorder="1" applyAlignment="1">
      <alignment horizontal="left" vertical="top" wrapText="1"/>
    </xf>
    <xf numFmtId="49" fontId="12" fillId="0" borderId="0" xfId="0" applyNumberFormat="1" applyFont="1" applyAlignment="1">
      <alignment horizontal="left" vertical="top"/>
    </xf>
    <xf numFmtId="165" fontId="12" fillId="0" borderId="0" xfId="0" applyNumberFormat="1" applyFont="1" applyAlignment="1">
      <alignment horizontal="left" vertical="top"/>
    </xf>
    <xf numFmtId="0" fontId="2" fillId="7" borderId="0" xfId="0" applyNumberFormat="1" applyFont="1" applyFill="1"/>
    <xf numFmtId="0" fontId="2" fillId="6" borderId="0" xfId="0" applyNumberFormat="1" applyFont="1" applyFill="1"/>
    <xf numFmtId="0" fontId="4" fillId="6" borderId="0" xfId="0" applyNumberFormat="1" applyFont="1" applyFill="1" applyAlignment="1">
      <alignment horizontal="left" indent="5"/>
    </xf>
    <xf numFmtId="0" fontId="22" fillId="0" borderId="0" xfId="0" applyNumberFormat="1" applyFont="1" applyAlignment="1">
      <alignment horizontal="left"/>
    </xf>
    <xf numFmtId="165" fontId="7" fillId="0" borderId="0" xfId="0" applyNumberFormat="1" applyFont="1" applyAlignment="1">
      <alignment horizontal="right" vertical="center" wrapText="1"/>
    </xf>
    <xf numFmtId="165" fontId="7" fillId="0" borderId="0" xfId="0" applyNumberFormat="1" applyFont="1" applyAlignment="1">
      <alignment vertical="center" wrapText="1"/>
    </xf>
    <xf numFmtId="0" fontId="25" fillId="0" borderId="13" xfId="0" applyNumberFormat="1" applyFont="1" applyBorder="1" applyAlignment="1">
      <alignment horizontal="center" vertical="center" wrapText="1"/>
    </xf>
    <xf numFmtId="0" fontId="25" fillId="0" borderId="14" xfId="0" applyNumberFormat="1" applyFont="1" applyBorder="1" applyAlignment="1">
      <alignment horizontal="center" vertical="center" wrapText="1"/>
    </xf>
    <xf numFmtId="0" fontId="25" fillId="0" borderId="14" xfId="0" applyNumberFormat="1" applyFont="1" applyBorder="1" applyAlignment="1">
      <alignment horizontal="justify" vertical="center" wrapText="1"/>
    </xf>
    <xf numFmtId="0" fontId="25" fillId="0" borderId="0" xfId="0" applyNumberFormat="1" applyFont="1" applyAlignment="1">
      <alignment horizontal="center" vertical="center" wrapText="1"/>
    </xf>
    <xf numFmtId="0" fontId="25" fillId="0" borderId="0" xfId="0" applyNumberFormat="1" applyFont="1" applyAlignment="1">
      <alignment horizontal="justify" vertical="center" wrapText="1"/>
    </xf>
    <xf numFmtId="165" fontId="7" fillId="0" borderId="15" xfId="0" applyNumberFormat="1" applyFont="1" applyBorder="1" applyAlignment="1">
      <alignment horizontal="right" vertical="center" wrapText="1"/>
    </xf>
    <xf numFmtId="0" fontId="25" fillId="0" borderId="0" xfId="0" applyNumberFormat="1" applyFont="1"/>
    <xf numFmtId="0" fontId="26" fillId="0" borderId="0" xfId="0" applyNumberFormat="1" applyFont="1" applyAlignment="1">
      <alignment horizontal="center"/>
    </xf>
    <xf numFmtId="0" fontId="22" fillId="0" borderId="16" xfId="0" applyNumberFormat="1" applyFont="1" applyBorder="1" applyAlignment="1">
      <alignment horizontal="center" wrapText="1"/>
    </xf>
    <xf numFmtId="0" fontId="22" fillId="0" borderId="17" xfId="0" applyNumberFormat="1" applyFont="1" applyBorder="1" applyAlignment="1">
      <alignment horizontal="center" wrapText="1"/>
    </xf>
    <xf numFmtId="0" fontId="22" fillId="0" borderId="18" xfId="0" applyNumberFormat="1" applyFont="1" applyBorder="1" applyAlignment="1">
      <alignment horizontal="center"/>
    </xf>
    <xf numFmtId="0" fontId="22" fillId="0" borderId="19" xfId="0" applyNumberFormat="1" applyFont="1" applyBorder="1" applyAlignment="1">
      <alignment wrapText="1"/>
    </xf>
    <xf numFmtId="0" fontId="22" fillId="0" borderId="19" xfId="0" applyNumberFormat="1" applyFont="1" applyBorder="1" applyAlignment="1">
      <alignment horizontal="center"/>
    </xf>
    <xf numFmtId="0" fontId="27" fillId="0" borderId="0" xfId="0" applyNumberFormat="1" applyFont="1" applyAlignment="1">
      <alignment vertical="top" wrapText="1"/>
    </xf>
    <xf numFmtId="0" fontId="27" fillId="0" borderId="17" xfId="0" applyNumberFormat="1" applyFont="1" applyBorder="1" applyAlignment="1">
      <alignment horizontal="center" wrapText="1"/>
    </xf>
    <xf numFmtId="0" fontId="27" fillId="0" borderId="18" xfId="0" applyNumberFormat="1" applyFont="1" applyBorder="1" applyAlignment="1">
      <alignment horizontal="center" wrapText="1"/>
    </xf>
    <xf numFmtId="0" fontId="27" fillId="0" borderId="19" xfId="0" applyNumberFormat="1" applyFont="1" applyBorder="1" applyAlignment="1">
      <alignment horizontal="center" wrapText="1"/>
    </xf>
    <xf numFmtId="0" fontId="27" fillId="0" borderId="18" xfId="0" applyNumberFormat="1" applyFont="1" applyBorder="1" applyAlignment="1">
      <alignment horizontal="center" vertical="top" wrapText="1"/>
    </xf>
    <xf numFmtId="0" fontId="27" fillId="0" borderId="19" xfId="0" applyNumberFormat="1" applyFont="1" applyBorder="1" applyAlignment="1">
      <alignment horizontal="center" vertical="top" wrapText="1"/>
    </xf>
    <xf numFmtId="0" fontId="27" fillId="0" borderId="19" xfId="0" applyNumberFormat="1" applyFont="1" applyBorder="1" applyAlignment="1">
      <alignment horizontal="justify" vertical="top" wrapText="1"/>
    </xf>
    <xf numFmtId="0" fontId="32" fillId="0" borderId="0" xfId="0" applyNumberFormat="1" applyFont="1"/>
    <xf numFmtId="0" fontId="7" fillId="0" borderId="5" xfId="0" applyNumberFormat="1"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5" fillId="0" borderId="0" xfId="0" applyNumberFormat="1" applyFont="1" applyAlignment="1">
      <alignment horizontal="center"/>
    </xf>
    <xf numFmtId="0" fontId="7" fillId="6" borderId="3" xfId="0" applyNumberFormat="1" applyFont="1" applyFill="1" applyBorder="1" applyAlignment="1">
      <alignment horizontal="center" vertical="top" wrapText="1"/>
    </xf>
    <xf numFmtId="0" fontId="30" fillId="0" borderId="30" xfId="0" applyNumberFormat="1" applyFont="1" applyBorder="1" applyAlignment="1">
      <alignment horizontal="justify"/>
    </xf>
    <xf numFmtId="0" fontId="12" fillId="0" borderId="30" xfId="0" applyNumberFormat="1" applyFont="1" applyBorder="1" applyAlignment="1">
      <alignment horizontal="justify" vertical="top"/>
    </xf>
    <xf numFmtId="165" fontId="7" fillId="0" borderId="2" xfId="0" applyNumberFormat="1" applyFont="1" applyBorder="1" applyAlignment="1">
      <alignment horizontal="center" vertical="center" wrapText="1"/>
    </xf>
    <xf numFmtId="165" fontId="7" fillId="0" borderId="3" xfId="0" applyNumberFormat="1" applyFont="1" applyBorder="1" applyAlignment="1">
      <alignment horizontal="center" vertical="center" wrapText="1"/>
    </xf>
    <xf numFmtId="0" fontId="29" fillId="0" borderId="2" xfId="0" applyNumberFormat="1" applyFont="1" applyBorder="1" applyAlignment="1">
      <alignment horizontal="center" vertical="center"/>
    </xf>
    <xf numFmtId="0" fontId="31" fillId="0" borderId="2" xfId="0" applyNumberFormat="1" applyFont="1" applyBorder="1" applyAlignment="1">
      <alignment horizontal="center" vertical="center"/>
    </xf>
    <xf numFmtId="164" fontId="7" fillId="0" borderId="2" xfId="0" applyNumberFormat="1" applyFont="1" applyBorder="1" applyAlignment="1">
      <alignment horizontal="center" vertical="center" wrapText="1"/>
    </xf>
    <xf numFmtId="164" fontId="7" fillId="6" borderId="2" xfId="0" applyNumberFormat="1" applyFont="1" applyFill="1" applyBorder="1" applyAlignment="1">
      <alignment horizontal="center" vertical="center" wrapText="1"/>
    </xf>
    <xf numFmtId="164" fontId="7" fillId="0" borderId="2"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13" fillId="0" borderId="2" xfId="0" applyNumberFormat="1" applyFont="1" applyBorder="1" applyAlignment="1">
      <alignment horizontal="center" vertical="center" wrapText="1"/>
    </xf>
    <xf numFmtId="4" fontId="13" fillId="0" borderId="2" xfId="0" applyNumberFormat="1" applyFont="1" applyBorder="1" applyAlignment="1">
      <alignment horizontal="center" vertical="center" wrapText="1"/>
    </xf>
    <xf numFmtId="4" fontId="7" fillId="0" borderId="2" xfId="0" applyNumberFormat="1" applyFont="1" applyBorder="1" applyAlignment="1">
      <alignment horizontal="center" vertical="center" wrapText="1"/>
    </xf>
    <xf numFmtId="4" fontId="7" fillId="6" borderId="2" xfId="0" applyNumberFormat="1" applyFont="1" applyFill="1" applyBorder="1" applyAlignment="1">
      <alignment horizontal="center" vertical="center" wrapText="1"/>
    </xf>
    <xf numFmtId="0"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165" fontId="7" fillId="6" borderId="2" xfId="0" applyNumberFormat="1" applyFont="1" applyFill="1" applyBorder="1" applyAlignment="1">
      <alignment horizontal="center" vertical="center" wrapText="1"/>
    </xf>
    <xf numFmtId="0" fontId="30" fillId="0" borderId="2" xfId="0" applyNumberFormat="1" applyFont="1" applyBorder="1" applyAlignment="1">
      <alignment horizontal="center" vertical="center"/>
    </xf>
    <xf numFmtId="0" fontId="7" fillId="6" borderId="10" xfId="0" applyNumberFormat="1" applyFont="1" applyFill="1" applyBorder="1" applyAlignment="1">
      <alignment horizontal="center" vertical="center" wrapText="1"/>
    </xf>
    <xf numFmtId="0" fontId="7" fillId="0" borderId="3" xfId="0" applyNumberFormat="1" applyFont="1" applyBorder="1" applyAlignment="1">
      <alignment horizontal="center" vertical="center" wrapText="1"/>
    </xf>
    <xf numFmtId="0" fontId="14" fillId="0" borderId="3" xfId="0" applyNumberFormat="1" applyFont="1" applyBorder="1" applyAlignment="1">
      <alignment horizontal="center" vertical="center"/>
    </xf>
    <xf numFmtId="165" fontId="7" fillId="6" borderId="3" xfId="0" applyNumberFormat="1" applyFont="1" applyFill="1" applyBorder="1" applyAlignment="1">
      <alignment horizontal="center" vertical="center" wrapText="1"/>
    </xf>
    <xf numFmtId="49" fontId="31" fillId="0" borderId="2" xfId="0" applyNumberFormat="1" applyFont="1" applyBorder="1" applyAlignment="1">
      <alignment horizontal="center" vertical="center"/>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31" fillId="0" borderId="2" xfId="0" applyNumberFormat="1" applyFont="1" applyBorder="1" applyAlignment="1">
      <alignment horizontal="left" vertical="top" wrapText="1"/>
    </xf>
    <xf numFmtId="0" fontId="18" fillId="8" borderId="0" xfId="0" applyNumberFormat="1" applyFont="1" applyFill="1" applyAlignment="1">
      <alignment horizontal="center" vertical="top"/>
    </xf>
    <xf numFmtId="0" fontId="5" fillId="8" borderId="0" xfId="0" applyNumberFormat="1" applyFont="1" applyFill="1" applyAlignment="1">
      <alignment horizontal="center" vertical="top"/>
    </xf>
    <xf numFmtId="0" fontId="5" fillId="8" borderId="0" xfId="0" applyNumberFormat="1" applyFont="1" applyFill="1" applyAlignment="1">
      <alignment horizontal="left" vertical="top"/>
    </xf>
    <xf numFmtId="0" fontId="4" fillId="8" borderId="0" xfId="0" applyNumberFormat="1" applyFont="1" applyFill="1" applyAlignment="1">
      <alignment horizontal="left" vertical="top"/>
    </xf>
    <xf numFmtId="49" fontId="4" fillId="8" borderId="0" xfId="0" applyNumberFormat="1" applyFont="1" applyFill="1" applyAlignment="1">
      <alignment horizontal="left" vertical="top"/>
    </xf>
    <xf numFmtId="49" fontId="5" fillId="8" borderId="0" xfId="0" applyNumberFormat="1" applyFont="1" applyFill="1" applyAlignment="1">
      <alignment horizontal="left" vertical="top"/>
    </xf>
    <xf numFmtId="0" fontId="7" fillId="8" borderId="31" xfId="0" applyNumberFormat="1" applyFont="1" applyFill="1" applyBorder="1" applyAlignment="1">
      <alignment horizontal="center" vertical="top" wrapText="1"/>
    </xf>
    <xf numFmtId="49" fontId="8" fillId="9" borderId="31" xfId="0" applyNumberFormat="1" applyFont="1" applyFill="1" applyBorder="1" applyAlignment="1">
      <alignment horizontal="center" vertical="top"/>
    </xf>
    <xf numFmtId="0" fontId="8" fillId="9" borderId="31" xfId="0" applyNumberFormat="1" applyFont="1" applyFill="1" applyBorder="1" applyAlignment="1">
      <alignment horizontal="left" vertical="top"/>
    </xf>
    <xf numFmtId="0" fontId="8" fillId="9" borderId="31" xfId="0" applyNumberFormat="1" applyFont="1" applyFill="1" applyBorder="1" applyAlignment="1">
      <alignment horizontal="center" vertical="top"/>
    </xf>
    <xf numFmtId="49" fontId="8" fillId="9" borderId="31" xfId="0" applyNumberFormat="1" applyFont="1" applyFill="1" applyBorder="1" applyAlignment="1">
      <alignment horizontal="left" vertical="top"/>
    </xf>
    <xf numFmtId="49" fontId="31" fillId="8" borderId="31" xfId="0" applyNumberFormat="1" applyFont="1" applyFill="1" applyBorder="1" applyAlignment="1">
      <alignment horizontal="center" vertical="top"/>
    </xf>
    <xf numFmtId="0" fontId="31" fillId="8" borderId="31" xfId="0" applyNumberFormat="1" applyFont="1" applyFill="1" applyBorder="1" applyAlignment="1">
      <alignment horizontal="left" vertical="top" wrapText="1"/>
    </xf>
    <xf numFmtId="0" fontId="31" fillId="8" borderId="31" xfId="0" applyNumberFormat="1" applyFont="1" applyFill="1" applyBorder="1" applyAlignment="1">
      <alignment horizontal="center" vertical="top" wrapText="1"/>
    </xf>
    <xf numFmtId="49" fontId="31" fillId="8" borderId="31" xfId="0" applyNumberFormat="1" applyFont="1" applyFill="1" applyBorder="1" applyAlignment="1">
      <alignment horizontal="left" vertical="top" wrapText="1"/>
    </xf>
    <xf numFmtId="49" fontId="31" fillId="8" borderId="35" xfId="0" applyNumberFormat="1" applyFont="1" applyFill="1" applyBorder="1" applyAlignment="1">
      <alignment vertical="top" wrapText="1"/>
    </xf>
    <xf numFmtId="0" fontId="31" fillId="8" borderId="36" xfId="0" applyNumberFormat="1" applyFont="1" applyFill="1" applyBorder="1" applyAlignment="1">
      <alignment horizontal="left" vertical="top" wrapText="1"/>
    </xf>
    <xf numFmtId="49" fontId="7" fillId="8" borderId="31" xfId="0" applyNumberFormat="1" applyFont="1" applyFill="1" applyBorder="1" applyAlignment="1">
      <alignment horizontal="center" vertical="top"/>
    </xf>
    <xf numFmtId="0" fontId="7" fillId="8" borderId="31" xfId="0" applyNumberFormat="1" applyFont="1" applyFill="1" applyBorder="1" applyAlignment="1">
      <alignment horizontal="left" vertical="top" wrapText="1"/>
    </xf>
    <xf numFmtId="49" fontId="7" fillId="8" borderId="31" xfId="0" applyNumberFormat="1" applyFont="1" applyFill="1" applyBorder="1" applyAlignment="1">
      <alignment horizontal="left" vertical="top" wrapText="1"/>
    </xf>
    <xf numFmtId="0" fontId="31" fillId="0" borderId="31" xfId="0" applyNumberFormat="1" applyFont="1" applyBorder="1" applyAlignment="1">
      <alignment horizontal="left" vertical="top" wrapText="1"/>
    </xf>
    <xf numFmtId="0" fontId="7" fillId="0" borderId="31" xfId="0" applyNumberFormat="1" applyFont="1" applyBorder="1" applyAlignment="1">
      <alignment horizontal="left" vertical="top" wrapText="1"/>
    </xf>
    <xf numFmtId="0" fontId="7" fillId="0" borderId="31" xfId="0" applyNumberFormat="1" applyFont="1" applyBorder="1" applyAlignment="1">
      <alignment horizontal="center" vertical="top" wrapText="1"/>
    </xf>
    <xf numFmtId="49" fontId="7" fillId="0" borderId="31" xfId="0" applyNumberFormat="1" applyFont="1" applyBorder="1" applyAlignment="1">
      <alignment horizontal="left" vertical="top" wrapText="1"/>
    </xf>
    <xf numFmtId="49" fontId="35" fillId="9" borderId="31" xfId="0" applyNumberFormat="1" applyFont="1" applyFill="1" applyBorder="1" applyAlignment="1">
      <alignment horizontal="center" vertical="top"/>
    </xf>
    <xf numFmtId="0" fontId="35" fillId="9" borderId="31" xfId="0" applyNumberFormat="1" applyFont="1" applyFill="1" applyBorder="1" applyAlignment="1">
      <alignment horizontal="left" vertical="top" wrapText="1"/>
    </xf>
    <xf numFmtId="0" fontId="35" fillId="9" borderId="31" xfId="0" applyNumberFormat="1" applyFont="1" applyFill="1" applyBorder="1" applyAlignment="1">
      <alignment horizontal="center" vertical="top"/>
    </xf>
    <xf numFmtId="49" fontId="35" fillId="9" borderId="31" xfId="0" applyNumberFormat="1" applyFont="1" applyFill="1" applyBorder="1" applyAlignment="1">
      <alignment horizontal="left" vertical="top"/>
    </xf>
    <xf numFmtId="49" fontId="31" fillId="0" borderId="31" xfId="0" applyNumberFormat="1" applyFont="1" applyBorder="1" applyAlignment="1">
      <alignment horizontal="center" vertical="top"/>
    </xf>
    <xf numFmtId="0" fontId="31" fillId="0" borderId="31" xfId="0" applyNumberFormat="1" applyFont="1" applyBorder="1" applyAlignment="1">
      <alignment horizontal="center" vertical="top" wrapText="1"/>
    </xf>
    <xf numFmtId="49" fontId="35" fillId="0" borderId="31" xfId="0" applyNumberFormat="1" applyFont="1" applyBorder="1" applyAlignment="1">
      <alignment horizontal="left" vertical="top" wrapText="1"/>
    </xf>
    <xf numFmtId="49" fontId="7" fillId="0" borderId="31" xfId="0" applyNumberFormat="1" applyFont="1" applyBorder="1" applyAlignment="1">
      <alignment horizontal="center" vertical="top"/>
    </xf>
    <xf numFmtId="49" fontId="7" fillId="0" borderId="31" xfId="0" applyNumberFormat="1" applyFont="1" applyFill="1" applyBorder="1" applyAlignment="1">
      <alignment horizontal="center" vertical="top"/>
    </xf>
    <xf numFmtId="0" fontId="7" fillId="0" borderId="31" xfId="0" applyNumberFormat="1" applyFont="1" applyFill="1" applyBorder="1" applyAlignment="1">
      <alignment horizontal="left" vertical="top" wrapText="1"/>
    </xf>
    <xf numFmtId="0" fontId="7" fillId="0" borderId="31" xfId="0" applyNumberFormat="1" applyFont="1" applyFill="1" applyBorder="1" applyAlignment="1">
      <alignment horizontal="center" vertical="top" wrapText="1"/>
    </xf>
    <xf numFmtId="49" fontId="31" fillId="8" borderId="31" xfId="0" applyNumberFormat="1" applyFont="1" applyFill="1" applyBorder="1" applyAlignment="1">
      <alignment vertical="top" wrapText="1"/>
    </xf>
    <xf numFmtId="0" fontId="31" fillId="8" borderId="31" xfId="0" applyNumberFormat="1" applyFont="1" applyFill="1" applyBorder="1" applyAlignment="1">
      <alignment vertical="top" wrapText="1"/>
    </xf>
    <xf numFmtId="0" fontId="31" fillId="8" borderId="37" xfId="0" applyNumberFormat="1" applyFont="1" applyFill="1" applyBorder="1" applyAlignment="1">
      <alignment horizontal="left" vertical="top" wrapText="1"/>
    </xf>
    <xf numFmtId="0" fontId="31" fillId="8" borderId="38" xfId="0" applyNumberFormat="1" applyFont="1" applyFill="1" applyBorder="1" applyAlignment="1">
      <alignment horizontal="left" vertical="top" wrapText="1"/>
    </xf>
    <xf numFmtId="49" fontId="36" fillId="8" borderId="31" xfId="0" applyNumberFormat="1" applyFont="1" applyFill="1" applyBorder="1" applyAlignment="1">
      <alignment horizontal="center" vertical="top"/>
    </xf>
    <xf numFmtId="0" fontId="36" fillId="8" borderId="31" xfId="0" applyNumberFormat="1" applyFont="1" applyFill="1" applyBorder="1" applyAlignment="1">
      <alignment horizontal="left" vertical="top" wrapText="1"/>
    </xf>
    <xf numFmtId="0" fontId="36" fillId="8" borderId="31" xfId="0" applyNumberFormat="1" applyFont="1" applyFill="1" applyBorder="1" applyAlignment="1">
      <alignment horizontal="center" vertical="top" wrapText="1"/>
    </xf>
    <xf numFmtId="49" fontId="37" fillId="8" borderId="31" xfId="0" applyNumberFormat="1" applyFont="1" applyFill="1" applyBorder="1" applyAlignment="1">
      <alignment horizontal="left" vertical="top" wrapText="1"/>
    </xf>
    <xf numFmtId="0" fontId="7" fillId="0" borderId="31" xfId="0" applyNumberFormat="1" applyFont="1" applyBorder="1" applyAlignment="1">
      <alignment vertical="top" wrapText="1"/>
    </xf>
    <xf numFmtId="0" fontId="7" fillId="8" borderId="31" xfId="0" applyNumberFormat="1" applyFont="1" applyFill="1" applyBorder="1" applyAlignment="1">
      <alignment vertical="top" wrapText="1"/>
    </xf>
    <xf numFmtId="49" fontId="7" fillId="8" borderId="34" xfId="0" applyNumberFormat="1" applyFont="1" applyFill="1" applyBorder="1" applyAlignment="1">
      <alignment horizontal="center" vertical="top"/>
    </xf>
    <xf numFmtId="0" fontId="7" fillId="8" borderId="34" xfId="0" applyNumberFormat="1" applyFont="1" applyFill="1" applyBorder="1" applyAlignment="1">
      <alignment vertical="top" wrapText="1"/>
    </xf>
    <xf numFmtId="49" fontId="7" fillId="0" borderId="31" xfId="0" applyNumberFormat="1" applyFont="1" applyBorder="1" applyAlignment="1">
      <alignment horizontal="center" vertical="top" wrapText="1"/>
    </xf>
    <xf numFmtId="0" fontId="7" fillId="0" borderId="39" xfId="0" applyNumberFormat="1" applyFont="1" applyBorder="1" applyAlignment="1">
      <alignment vertical="top" wrapText="1"/>
    </xf>
    <xf numFmtId="49" fontId="7" fillId="0" borderId="34" xfId="0" applyNumberFormat="1" applyFont="1" applyBorder="1" applyAlignment="1">
      <alignment horizontal="center" vertical="top" wrapText="1"/>
    </xf>
    <xf numFmtId="49" fontId="7" fillId="10" borderId="40" xfId="0" applyNumberFormat="1" applyFont="1" applyFill="1" applyBorder="1" applyAlignment="1">
      <alignment horizontal="center" vertical="top" wrapText="1"/>
    </xf>
    <xf numFmtId="0" fontId="7" fillId="0" borderId="30" xfId="0" applyNumberFormat="1" applyFont="1" applyBorder="1" applyAlignment="1">
      <alignment vertical="top" wrapText="1"/>
    </xf>
    <xf numFmtId="0" fontId="7" fillId="0" borderId="33" xfId="0" applyNumberFormat="1" applyFont="1" applyBorder="1" applyAlignment="1">
      <alignment horizontal="center" vertical="top" wrapText="1"/>
    </xf>
    <xf numFmtId="49" fontId="7" fillId="10" borderId="34" xfId="0" applyNumberFormat="1" applyFont="1" applyFill="1" applyBorder="1" applyAlignment="1">
      <alignment horizontal="center" vertical="top" wrapText="1"/>
    </xf>
    <xf numFmtId="0" fontId="7" fillId="10" borderId="30" xfId="0" applyNumberFormat="1" applyFont="1" applyFill="1" applyBorder="1" applyAlignment="1">
      <alignment vertical="top" wrapText="1"/>
    </xf>
    <xf numFmtId="0" fontId="7" fillId="10" borderId="33" xfId="0" applyNumberFormat="1" applyFont="1" applyFill="1" applyBorder="1" applyAlignment="1">
      <alignment horizontal="center" vertical="top" wrapText="1"/>
    </xf>
    <xf numFmtId="0" fontId="7" fillId="10" borderId="31" xfId="0" applyNumberFormat="1" applyFont="1" applyFill="1" applyBorder="1" applyAlignment="1">
      <alignment horizontal="center" vertical="top" wrapText="1"/>
    </xf>
    <xf numFmtId="0" fontId="7" fillId="10" borderId="31" xfId="0" applyNumberFormat="1" applyFont="1" applyFill="1" applyBorder="1" applyAlignment="1">
      <alignment horizontal="left" vertical="top" wrapText="1"/>
    </xf>
    <xf numFmtId="49" fontId="37" fillId="10" borderId="31" xfId="0" applyNumberFormat="1" applyFont="1" applyFill="1" applyBorder="1" applyAlignment="1">
      <alignment horizontal="left" vertical="top" wrapText="1"/>
    </xf>
    <xf numFmtId="49" fontId="31" fillId="0" borderId="34" xfId="0" applyNumberFormat="1" applyFont="1" applyBorder="1" applyAlignment="1">
      <alignment horizontal="center" vertical="top"/>
    </xf>
    <xf numFmtId="0" fontId="31" fillId="0" borderId="41" xfId="0" applyNumberFormat="1" applyFont="1" applyBorder="1" applyAlignment="1">
      <alignment horizontal="left" vertical="top" wrapText="1"/>
    </xf>
    <xf numFmtId="0" fontId="31" fillId="0" borderId="34" xfId="0" applyNumberFormat="1" applyFont="1" applyBorder="1" applyAlignment="1">
      <alignment horizontal="center" vertical="top" wrapText="1"/>
    </xf>
    <xf numFmtId="0" fontId="31" fillId="0" borderId="34" xfId="0" applyNumberFormat="1" applyFont="1" applyBorder="1" applyAlignment="1">
      <alignment horizontal="left" vertical="top" wrapText="1"/>
    </xf>
    <xf numFmtId="0" fontId="31" fillId="0" borderId="36" xfId="0" applyNumberFormat="1" applyFont="1" applyBorder="1" applyAlignment="1">
      <alignment horizontal="left" vertical="top" wrapText="1"/>
    </xf>
    <xf numFmtId="49" fontId="31" fillId="10" borderId="31" xfId="0" applyNumberFormat="1" applyFont="1" applyFill="1" applyBorder="1" applyAlignment="1">
      <alignment horizontal="center" vertical="top"/>
    </xf>
    <xf numFmtId="0" fontId="31" fillId="10" borderId="31" xfId="0" applyNumberFormat="1" applyFont="1" applyFill="1" applyBorder="1" applyAlignment="1">
      <alignment horizontal="left" vertical="top" wrapText="1"/>
    </xf>
    <xf numFmtId="0" fontId="31" fillId="10" borderId="31" xfId="0" applyNumberFormat="1" applyFont="1" applyFill="1" applyBorder="1" applyAlignment="1">
      <alignment horizontal="center" vertical="top" wrapText="1"/>
    </xf>
    <xf numFmtId="49" fontId="31" fillId="10" borderId="31" xfId="0" applyNumberFormat="1" applyFont="1" applyFill="1" applyBorder="1" applyAlignment="1">
      <alignment horizontal="left" vertical="top" wrapText="1"/>
    </xf>
    <xf numFmtId="49" fontId="35" fillId="10" borderId="31" xfId="0" applyNumberFormat="1" applyFont="1" applyFill="1" applyBorder="1" applyAlignment="1">
      <alignment horizontal="left" vertical="top" wrapText="1"/>
    </xf>
    <xf numFmtId="49" fontId="35" fillId="9" borderId="31" xfId="0" applyNumberFormat="1" applyFont="1" applyFill="1" applyBorder="1" applyAlignment="1">
      <alignment horizontal="left" vertical="top" wrapText="1"/>
    </xf>
    <xf numFmtId="0" fontId="8" fillId="8" borderId="31" xfId="0" applyNumberFormat="1" applyFont="1" applyFill="1" applyBorder="1" applyAlignment="1">
      <alignment horizontal="center" vertical="top"/>
    </xf>
    <xf numFmtId="0" fontId="8" fillId="8" borderId="31" xfId="0" applyNumberFormat="1" applyFont="1" applyFill="1" applyBorder="1" applyAlignment="1">
      <alignment horizontal="left" vertical="top" wrapText="1"/>
    </xf>
    <xf numFmtId="49" fontId="8" fillId="8" borderId="31" xfId="0" applyNumberFormat="1" applyFont="1" applyFill="1" applyBorder="1" applyAlignment="1">
      <alignment horizontal="left" vertical="top" wrapText="1"/>
    </xf>
    <xf numFmtId="49" fontId="31" fillId="8" borderId="35" xfId="0" quotePrefix="1" applyNumberFormat="1" applyFont="1" applyFill="1" applyBorder="1" applyAlignment="1">
      <alignment vertical="top" wrapText="1"/>
    </xf>
    <xf numFmtId="0" fontId="31" fillId="8" borderId="31" xfId="0" applyNumberFormat="1" applyFont="1" applyFill="1" applyBorder="1" applyAlignment="1">
      <alignment horizontal="center" vertical="top"/>
    </xf>
    <xf numFmtId="0" fontId="31" fillId="8" borderId="42" xfId="0" applyNumberFormat="1" applyFont="1" applyFill="1" applyBorder="1" applyAlignment="1">
      <alignment horizontal="left" vertical="top" wrapText="1"/>
    </xf>
    <xf numFmtId="0" fontId="31" fillId="8" borderId="43" xfId="0" applyNumberFormat="1" applyFont="1" applyFill="1" applyBorder="1" applyAlignment="1">
      <alignment horizontal="left" vertical="top" wrapText="1"/>
    </xf>
    <xf numFmtId="0" fontId="7" fillId="8" borderId="31" xfId="0" applyNumberFormat="1" applyFont="1" applyFill="1" applyBorder="1" applyAlignment="1">
      <alignment horizontal="center" vertical="top"/>
    </xf>
    <xf numFmtId="49" fontId="31" fillId="8" borderId="31" xfId="0" applyNumberFormat="1" applyFont="1" applyFill="1" applyBorder="1" applyAlignment="1">
      <alignment horizontal="left" vertical="top"/>
    </xf>
    <xf numFmtId="49" fontId="7" fillId="10" borderId="31" xfId="0" applyNumberFormat="1" applyFont="1" applyFill="1" applyBorder="1" applyAlignment="1">
      <alignment horizontal="center" vertical="top"/>
    </xf>
    <xf numFmtId="0" fontId="7" fillId="10" borderId="31" xfId="0" applyNumberFormat="1" applyFont="1" applyFill="1" applyBorder="1" applyAlignment="1">
      <alignment horizontal="center" vertical="top"/>
    </xf>
    <xf numFmtId="49" fontId="7" fillId="10" borderId="31" xfId="0" applyNumberFormat="1" applyFont="1" applyFill="1" applyBorder="1" applyAlignment="1">
      <alignment horizontal="left" vertical="top" wrapText="1"/>
    </xf>
    <xf numFmtId="0" fontId="8" fillId="9" borderId="31" xfId="0" applyNumberFormat="1" applyFont="1" applyFill="1" applyBorder="1" applyAlignment="1">
      <alignment horizontal="left" vertical="top" wrapText="1"/>
    </xf>
    <xf numFmtId="0" fontId="8" fillId="9" borderId="31" xfId="0" applyNumberFormat="1" applyFont="1" applyFill="1" applyBorder="1" applyAlignment="1">
      <alignment horizontal="center" vertical="top" wrapText="1"/>
    </xf>
    <xf numFmtId="49" fontId="8" fillId="9" borderId="31" xfId="0" applyNumberFormat="1" applyFont="1" applyFill="1" applyBorder="1" applyAlignment="1">
      <alignment horizontal="left" vertical="top" wrapText="1"/>
    </xf>
    <xf numFmtId="0" fontId="8" fillId="0" borderId="31" xfId="0" applyNumberFormat="1" applyFont="1" applyBorder="1" applyAlignment="1">
      <alignment horizontal="center" vertical="top" wrapText="1"/>
    </xf>
    <xf numFmtId="0" fontId="8" fillId="0" borderId="31" xfId="0" applyNumberFormat="1" applyFont="1" applyBorder="1" applyAlignment="1">
      <alignment horizontal="center" vertical="top"/>
    </xf>
    <xf numFmtId="0" fontId="8" fillId="0" borderId="31" xfId="0" applyNumberFormat="1" applyFont="1" applyBorder="1" applyAlignment="1">
      <alignment horizontal="left" vertical="top" wrapText="1"/>
    </xf>
    <xf numFmtId="49" fontId="8" fillId="0" borderId="31" xfId="0" applyNumberFormat="1" applyFont="1" applyBorder="1" applyAlignment="1">
      <alignment horizontal="left" vertical="top" wrapText="1"/>
    </xf>
    <xf numFmtId="0" fontId="7" fillId="0" borderId="31" xfId="0" applyNumberFormat="1" applyFont="1" applyBorder="1" applyAlignment="1">
      <alignment horizontal="center" vertical="top"/>
    </xf>
    <xf numFmtId="0" fontId="38" fillId="0" borderId="31" xfId="0" applyNumberFormat="1" applyFont="1" applyBorder="1" applyAlignment="1">
      <alignment horizontal="left" vertical="top" wrapText="1"/>
    </xf>
    <xf numFmtId="49" fontId="31" fillId="9" borderId="31" xfId="0" applyNumberFormat="1" applyFont="1" applyFill="1" applyBorder="1" applyAlignment="1">
      <alignment horizontal="center" vertical="top"/>
    </xf>
    <xf numFmtId="0" fontId="35" fillId="9" borderId="31" xfId="0" applyNumberFormat="1" applyFont="1" applyFill="1" applyBorder="1" applyAlignment="1">
      <alignment horizontal="left" vertical="top"/>
    </xf>
    <xf numFmtId="0" fontId="31" fillId="0" borderId="31" xfId="0" applyNumberFormat="1" applyFont="1" applyBorder="1" applyAlignment="1">
      <alignment horizontal="center" vertical="top"/>
    </xf>
    <xf numFmtId="49" fontId="31" fillId="0" borderId="31" xfId="0" applyNumberFormat="1" applyFont="1" applyBorder="1" applyAlignment="1">
      <alignment horizontal="left" vertical="top" wrapText="1"/>
    </xf>
    <xf numFmtId="0" fontId="31" fillId="8" borderId="0" xfId="0" applyNumberFormat="1" applyFont="1" applyFill="1" applyAlignment="1">
      <alignment horizontal="left" vertical="top" wrapText="1"/>
    </xf>
    <xf numFmtId="49" fontId="37" fillId="0" borderId="31" xfId="0" applyNumberFormat="1" applyFont="1" applyBorder="1" applyAlignment="1">
      <alignment horizontal="left" vertical="top" wrapText="1"/>
    </xf>
    <xf numFmtId="49" fontId="37" fillId="8" borderId="31" xfId="0" applyNumberFormat="1" applyFont="1" applyFill="1" applyBorder="1" applyAlignment="1">
      <alignment horizontal="left" vertical="top"/>
    </xf>
    <xf numFmtId="0" fontId="37" fillId="8" borderId="31" xfId="0" applyNumberFormat="1" applyFont="1" applyFill="1" applyBorder="1" applyAlignment="1">
      <alignment horizontal="left" vertical="top"/>
    </xf>
    <xf numFmtId="49" fontId="37" fillId="0" borderId="31" xfId="0" applyNumberFormat="1" applyFont="1" applyBorder="1" applyAlignment="1">
      <alignment horizontal="left" vertical="top"/>
    </xf>
    <xf numFmtId="0" fontId="31" fillId="10" borderId="31" xfId="0" applyNumberFormat="1" applyFont="1" applyFill="1" applyBorder="1" applyAlignment="1">
      <alignment horizontal="center" vertical="top"/>
    </xf>
    <xf numFmtId="49" fontId="7" fillId="8" borderId="31" xfId="0" applyNumberFormat="1" applyFont="1" applyFill="1" applyBorder="1" applyAlignment="1">
      <alignment horizontal="left" vertical="top"/>
    </xf>
    <xf numFmtId="0" fontId="39" fillId="0" borderId="0" xfId="0" applyNumberFormat="1" applyFont="1"/>
    <xf numFmtId="0" fontId="7" fillId="0" borderId="31" xfId="0" applyNumberFormat="1" applyFont="1" applyBorder="1" applyAlignment="1">
      <alignment horizontal="center" vertical="center" wrapText="1"/>
    </xf>
    <xf numFmtId="49" fontId="7" fillId="9" borderId="31" xfId="0" applyNumberFormat="1" applyFont="1" applyFill="1" applyBorder="1" applyAlignment="1">
      <alignment horizontal="center" vertical="top"/>
    </xf>
    <xf numFmtId="0" fontId="7" fillId="9" borderId="31" xfId="0" applyNumberFormat="1" applyFont="1" applyFill="1" applyBorder="1" applyAlignment="1">
      <alignment horizontal="center" vertical="center" wrapText="1"/>
    </xf>
    <xf numFmtId="0" fontId="7" fillId="9" borderId="39" xfId="0" applyNumberFormat="1" applyFont="1" applyFill="1" applyBorder="1" applyAlignment="1">
      <alignment horizontal="center" vertical="center" wrapText="1"/>
    </xf>
    <xf numFmtId="165" fontId="8" fillId="9" borderId="0" xfId="0" applyNumberFormat="1" applyFont="1" applyFill="1" applyAlignment="1">
      <alignment horizontal="left"/>
    </xf>
    <xf numFmtId="165" fontId="7" fillId="0" borderId="31" xfId="0" applyNumberFormat="1" applyFont="1" applyBorder="1" applyAlignment="1">
      <alignment vertical="top" wrapText="1"/>
    </xf>
    <xf numFmtId="165" fontId="7" fillId="0" borderId="31" xfId="0" applyNumberFormat="1" applyFont="1" applyBorder="1" applyAlignment="1">
      <alignment horizontal="center" vertical="top" wrapText="1"/>
    </xf>
    <xf numFmtId="3" fontId="7" fillId="0" borderId="31" xfId="0" applyNumberFormat="1" applyFont="1" applyBorder="1" applyAlignment="1">
      <alignment vertical="top" wrapText="1"/>
    </xf>
    <xf numFmtId="0" fontId="40" fillId="0" borderId="31" xfId="0" applyNumberFormat="1" applyFont="1" applyBorder="1"/>
    <xf numFmtId="0" fontId="7" fillId="9" borderId="31" xfId="0" applyNumberFormat="1" applyFont="1" applyFill="1" applyBorder="1" applyAlignment="1">
      <alignment horizontal="center" vertical="top" wrapText="1"/>
    </xf>
    <xf numFmtId="165" fontId="8" fillId="9" borderId="0" xfId="0" applyNumberFormat="1" applyFont="1" applyFill="1" applyAlignment="1">
      <alignment horizontal="center" vertical="top"/>
    </xf>
    <xf numFmtId="165" fontId="7" fillId="0" borderId="31" xfId="0" applyNumberFormat="1" applyFont="1" applyBorder="1" applyAlignment="1">
      <alignment horizontal="center" vertical="top"/>
    </xf>
    <xf numFmtId="165" fontId="7" fillId="0" borderId="31" xfId="0" applyNumberFormat="1" applyFont="1" applyBorder="1" applyAlignment="1">
      <alignment vertical="top"/>
    </xf>
    <xf numFmtId="0" fontId="7" fillId="0" borderId="31" xfId="0" applyNumberFormat="1" applyFont="1" applyBorder="1" applyAlignment="1">
      <alignment vertical="top"/>
    </xf>
    <xf numFmtId="1" fontId="7" fillId="0" borderId="31" xfId="0" applyNumberFormat="1" applyFont="1" applyBorder="1" applyAlignment="1">
      <alignment vertical="top"/>
    </xf>
    <xf numFmtId="3" fontId="7" fillId="0" borderId="31" xfId="0" applyNumberFormat="1" applyFont="1" applyBorder="1" applyAlignment="1">
      <alignment vertical="top"/>
    </xf>
    <xf numFmtId="0" fontId="7" fillId="9" borderId="50" xfId="0" applyNumberFormat="1" applyFont="1" applyFill="1" applyBorder="1" applyAlignment="1">
      <alignment horizontal="center" vertical="top" wrapText="1"/>
    </xf>
    <xf numFmtId="49" fontId="7" fillId="9" borderId="50" xfId="0" applyNumberFormat="1" applyFont="1" applyFill="1" applyBorder="1" applyAlignment="1">
      <alignment horizontal="center" vertical="top"/>
    </xf>
    <xf numFmtId="49" fontId="7" fillId="9" borderId="39" xfId="0" applyNumberFormat="1" applyFont="1" applyFill="1" applyBorder="1" applyAlignment="1">
      <alignment horizontal="center" vertical="top"/>
    </xf>
    <xf numFmtId="49" fontId="8" fillId="9" borderId="50" xfId="0" applyNumberFormat="1" applyFont="1" applyFill="1" applyBorder="1" applyAlignment="1">
      <alignment horizontal="center" vertical="top"/>
    </xf>
    <xf numFmtId="0" fontId="8" fillId="9" borderId="0" xfId="0" applyNumberFormat="1" applyFont="1" applyFill="1" applyAlignment="1">
      <alignment horizontal="center" vertical="top" wrapText="1"/>
    </xf>
    <xf numFmtId="0" fontId="40" fillId="11" borderId="31" xfId="0" applyNumberFormat="1" applyFont="1" applyFill="1" applyBorder="1"/>
    <xf numFmtId="0" fontId="38" fillId="0" borderId="0" xfId="0" applyNumberFormat="1" applyFont="1"/>
    <xf numFmtId="165" fontId="38" fillId="0" borderId="0" xfId="0" applyNumberFormat="1" applyFont="1"/>
    <xf numFmtId="0" fontId="24" fillId="0" borderId="31" xfId="0" applyNumberFormat="1" applyFont="1" applyBorder="1" applyAlignment="1">
      <alignment horizontal="left" vertical="top"/>
    </xf>
    <xf numFmtId="0" fontId="24" fillId="0" borderId="31" xfId="0" applyNumberFormat="1" applyFont="1" applyBorder="1" applyAlignment="1">
      <alignment horizontal="center" vertical="center" wrapText="1"/>
    </xf>
    <xf numFmtId="0" fontId="41" fillId="0" borderId="31" xfId="0" applyNumberFormat="1" applyFont="1" applyBorder="1"/>
    <xf numFmtId="49" fontId="8" fillId="12" borderId="39" xfId="0" applyNumberFormat="1" applyFont="1" applyFill="1" applyBorder="1" applyAlignment="1">
      <alignment horizontal="center" vertical="top"/>
    </xf>
    <xf numFmtId="0" fontId="8" fillId="12" borderId="31" xfId="0" applyNumberFormat="1" applyFont="1" applyFill="1" applyBorder="1" applyAlignment="1">
      <alignment horizontal="left" vertical="top" wrapText="1"/>
    </xf>
    <xf numFmtId="49" fontId="8" fillId="12" borderId="31" xfId="0" applyNumberFormat="1" applyFont="1" applyFill="1" applyBorder="1" applyAlignment="1">
      <alignment horizontal="left" vertical="top"/>
    </xf>
    <xf numFmtId="49" fontId="8" fillId="12" borderId="31" xfId="0" applyNumberFormat="1" applyFont="1" applyFill="1" applyBorder="1" applyAlignment="1">
      <alignment horizontal="center" vertical="top"/>
    </xf>
    <xf numFmtId="165" fontId="8" fillId="12" borderId="31" xfId="0" applyNumberFormat="1" applyFont="1" applyFill="1" applyBorder="1" applyAlignment="1">
      <alignment horizontal="right" vertical="top"/>
    </xf>
    <xf numFmtId="49" fontId="8" fillId="12" borderId="50" xfId="0" applyNumberFormat="1" applyFont="1" applyFill="1" applyBorder="1" applyAlignment="1">
      <alignment horizontal="center" vertical="top"/>
    </xf>
    <xf numFmtId="0" fontId="7" fillId="12" borderId="31" xfId="0" applyNumberFormat="1" applyFont="1" applyFill="1" applyBorder="1" applyAlignment="1">
      <alignment horizontal="left" vertical="top" wrapText="1"/>
    </xf>
    <xf numFmtId="0" fontId="38" fillId="12" borderId="31" xfId="0" applyNumberFormat="1" applyFont="1" applyFill="1" applyBorder="1"/>
    <xf numFmtId="49" fontId="8" fillId="12" borderId="34" xfId="0" applyNumberFormat="1" applyFont="1" applyFill="1" applyBorder="1" applyAlignment="1">
      <alignment horizontal="center" vertical="top"/>
    </xf>
    <xf numFmtId="49" fontId="7" fillId="12" borderId="31" xfId="0" applyNumberFormat="1" applyFont="1" applyFill="1" applyBorder="1" applyAlignment="1">
      <alignment horizontal="left" vertical="top"/>
    </xf>
    <xf numFmtId="49" fontId="7" fillId="12" borderId="31" xfId="0" applyNumberFormat="1" applyFont="1" applyFill="1" applyBorder="1" applyAlignment="1">
      <alignment horizontal="center" vertical="top"/>
    </xf>
    <xf numFmtId="165" fontId="7" fillId="12" borderId="31" xfId="0" applyNumberFormat="1" applyFont="1" applyFill="1" applyBorder="1" applyAlignment="1">
      <alignment horizontal="right" vertical="top"/>
    </xf>
    <xf numFmtId="165" fontId="38" fillId="12" borderId="31" xfId="0" applyNumberFormat="1" applyFont="1" applyFill="1" applyBorder="1"/>
    <xf numFmtId="49" fontId="7" fillId="0" borderId="31" xfId="0" applyNumberFormat="1" applyFont="1" applyBorder="1" applyAlignment="1">
      <alignment horizontal="left" vertical="top"/>
    </xf>
    <xf numFmtId="165" fontId="7" fillId="0" borderId="31" xfId="0" applyNumberFormat="1" applyFont="1" applyBorder="1" applyAlignment="1">
      <alignment horizontal="right" vertical="top"/>
    </xf>
    <xf numFmtId="165" fontId="8" fillId="0" borderId="31" xfId="0" applyNumberFormat="1" applyFont="1" applyBorder="1" applyAlignment="1">
      <alignment horizontal="right" vertical="top"/>
    </xf>
    <xf numFmtId="0" fontId="38" fillId="0" borderId="31" xfId="0" applyNumberFormat="1" applyFont="1" applyBorder="1"/>
    <xf numFmtId="165" fontId="38" fillId="0" borderId="31" xfId="0" applyNumberFormat="1" applyFont="1" applyBorder="1"/>
    <xf numFmtId="165" fontId="7" fillId="10" borderId="31" xfId="0" applyNumberFormat="1" applyFont="1" applyFill="1" applyBorder="1" applyAlignment="1">
      <alignment horizontal="right" vertical="top"/>
    </xf>
    <xf numFmtId="165" fontId="38" fillId="0" borderId="31" xfId="0" applyNumberFormat="1" applyFont="1" applyBorder="1" applyAlignment="1">
      <alignment horizontal="right" vertical="top" shrinkToFit="1"/>
    </xf>
    <xf numFmtId="49" fontId="7" fillId="12" borderId="31" xfId="0" applyNumberFormat="1" applyFont="1" applyFill="1" applyBorder="1" applyAlignment="1">
      <alignment horizontal="left" vertical="top" wrapText="1"/>
    </xf>
    <xf numFmtId="49" fontId="7" fillId="12" borderId="31" xfId="0" applyNumberFormat="1" applyFont="1" applyFill="1" applyBorder="1" applyAlignment="1">
      <alignment horizontal="center" vertical="top" wrapText="1"/>
    </xf>
    <xf numFmtId="165" fontId="38" fillId="12" borderId="31" xfId="0" applyNumberFormat="1" applyFont="1" applyFill="1" applyBorder="1" applyAlignment="1">
      <alignment horizontal="right" vertical="top" shrinkToFit="1"/>
    </xf>
    <xf numFmtId="165" fontId="42" fillId="12" borderId="31" xfId="0" applyNumberFormat="1" applyFont="1" applyFill="1" applyBorder="1" applyAlignment="1">
      <alignment horizontal="right" vertical="top" shrinkToFit="1"/>
    </xf>
    <xf numFmtId="49" fontId="31" fillId="0" borderId="31" xfId="0" applyNumberFormat="1" applyFont="1" applyFill="1" applyBorder="1" applyAlignment="1">
      <alignment horizontal="center" vertical="top"/>
    </xf>
    <xf numFmtId="0" fontId="31" fillId="0" borderId="31" xfId="0" applyNumberFormat="1" applyFont="1" applyFill="1" applyBorder="1" applyAlignment="1">
      <alignment horizontal="left" vertical="top" wrapText="1"/>
    </xf>
    <xf numFmtId="49" fontId="31" fillId="0" borderId="31" xfId="0" applyNumberFormat="1" applyFont="1" applyFill="1" applyBorder="1" applyAlignment="1">
      <alignment horizontal="left" vertical="top" wrapText="1"/>
    </xf>
    <xf numFmtId="49" fontId="31" fillId="0" borderId="31" xfId="0" applyNumberFormat="1" applyFont="1" applyFill="1" applyBorder="1" applyAlignment="1">
      <alignment horizontal="center" vertical="top" wrapText="1"/>
    </xf>
    <xf numFmtId="165" fontId="38" fillId="0" borderId="31" xfId="0" applyNumberFormat="1" applyFont="1" applyFill="1" applyBorder="1" applyAlignment="1">
      <alignment horizontal="right" vertical="top" shrinkToFit="1"/>
    </xf>
    <xf numFmtId="165" fontId="42" fillId="0" borderId="31" xfId="0" applyNumberFormat="1" applyFont="1" applyFill="1" applyBorder="1" applyAlignment="1">
      <alignment horizontal="right" vertical="top" shrinkToFit="1"/>
    </xf>
    <xf numFmtId="165" fontId="42" fillId="10" borderId="31" xfId="0" applyNumberFormat="1" applyFont="1" applyFill="1" applyBorder="1" applyAlignment="1">
      <alignment horizontal="right" vertical="top" shrinkToFit="1"/>
    </xf>
    <xf numFmtId="0" fontId="38" fillId="10" borderId="31" xfId="0" applyNumberFormat="1" applyFont="1" applyFill="1" applyBorder="1"/>
    <xf numFmtId="0" fontId="7" fillId="12" borderId="39" xfId="0" applyNumberFormat="1" applyFont="1" applyFill="1" applyBorder="1" applyAlignment="1">
      <alignment vertical="top" wrapText="1"/>
    </xf>
    <xf numFmtId="0" fontId="7" fillId="12" borderId="34" xfId="0" applyNumberFormat="1" applyFont="1" applyFill="1" applyBorder="1" applyAlignment="1">
      <alignment vertical="top" wrapText="1"/>
    </xf>
    <xf numFmtId="0" fontId="31" fillId="0" borderId="34" xfId="0" applyNumberFormat="1" applyFont="1" applyBorder="1" applyAlignment="1">
      <alignment vertical="top" wrapText="1"/>
    </xf>
    <xf numFmtId="49" fontId="31" fillId="0" borderId="31" xfId="0" applyNumberFormat="1" applyFont="1" applyBorder="1" applyAlignment="1">
      <alignment horizontal="left" vertical="top"/>
    </xf>
    <xf numFmtId="49" fontId="31" fillId="0" borderId="31" xfId="0" applyNumberFormat="1" applyFont="1" applyBorder="1" applyAlignment="1">
      <alignment horizontal="center" vertical="top" wrapText="1"/>
    </xf>
    <xf numFmtId="49" fontId="7" fillId="12" borderId="31" xfId="0" quotePrefix="1" applyNumberFormat="1" applyFont="1" applyFill="1" applyBorder="1" applyAlignment="1">
      <alignment horizontal="left" vertical="top" wrapText="1"/>
    </xf>
    <xf numFmtId="0" fontId="7" fillId="0" borderId="31" xfId="0" quotePrefix="1" applyNumberFormat="1" applyFont="1" applyBorder="1" applyAlignment="1">
      <alignment horizontal="left" vertical="top" wrapText="1"/>
    </xf>
    <xf numFmtId="49" fontId="7" fillId="0" borderId="34" xfId="0" applyNumberFormat="1" applyFont="1" applyBorder="1" applyAlignment="1">
      <alignment horizontal="center" vertical="top"/>
    </xf>
    <xf numFmtId="49" fontId="7" fillId="0" borderId="50" xfId="0" applyNumberFormat="1" applyFont="1" applyBorder="1" applyAlignment="1">
      <alignment horizontal="center" vertical="top"/>
    </xf>
    <xf numFmtId="0" fontId="7" fillId="0" borderId="50" xfId="0" applyNumberFormat="1" applyFont="1" applyBorder="1" applyAlignment="1">
      <alignment horizontal="left" vertical="top" wrapText="1"/>
    </xf>
    <xf numFmtId="49" fontId="7" fillId="0" borderId="39" xfId="0" applyNumberFormat="1" applyFont="1" applyBorder="1" applyAlignment="1">
      <alignment horizontal="center" vertical="top"/>
    </xf>
    <xf numFmtId="0" fontId="7" fillId="0" borderId="39" xfId="0" applyNumberFormat="1" applyFont="1" applyBorder="1" applyAlignment="1">
      <alignment horizontal="left" vertical="top" wrapText="1"/>
    </xf>
    <xf numFmtId="49" fontId="7" fillId="0" borderId="39" xfId="0" applyNumberFormat="1" applyFont="1" applyBorder="1" applyAlignment="1">
      <alignment vertical="top"/>
    </xf>
    <xf numFmtId="49" fontId="31" fillId="0" borderId="39" xfId="0" applyNumberFormat="1" applyFont="1" applyBorder="1" applyAlignment="1">
      <alignment vertical="top"/>
    </xf>
    <xf numFmtId="49" fontId="7" fillId="0" borderId="34" xfId="0" applyNumberFormat="1" applyFont="1" applyBorder="1" applyAlignment="1">
      <alignment vertical="top"/>
    </xf>
    <xf numFmtId="49" fontId="7" fillId="0" borderId="50" xfId="0" applyNumberFormat="1" applyFont="1" applyBorder="1" applyAlignment="1">
      <alignment vertical="top"/>
    </xf>
    <xf numFmtId="49" fontId="8" fillId="12" borderId="31" xfId="0" applyNumberFormat="1" applyFont="1" applyFill="1" applyBorder="1" applyAlignment="1">
      <alignment horizontal="left" vertical="top" wrapText="1"/>
    </xf>
    <xf numFmtId="49" fontId="8" fillId="12" borderId="39" xfId="0" applyNumberFormat="1" applyFont="1" applyFill="1" applyBorder="1" applyAlignment="1">
      <alignment vertical="top"/>
    </xf>
    <xf numFmtId="49" fontId="8" fillId="12" borderId="31" xfId="0" applyNumberFormat="1" applyFont="1" applyFill="1" applyBorder="1" applyAlignment="1">
      <alignment horizontal="center" vertical="top" wrapText="1"/>
    </xf>
    <xf numFmtId="49" fontId="8" fillId="12" borderId="34" xfId="0" applyNumberFormat="1" applyFont="1" applyFill="1" applyBorder="1" applyAlignment="1">
      <alignment vertical="top"/>
    </xf>
    <xf numFmtId="49" fontId="8" fillId="0" borderId="34" xfId="0" applyNumberFormat="1" applyFont="1" applyBorder="1" applyAlignment="1">
      <alignment vertical="top"/>
    </xf>
    <xf numFmtId="49" fontId="7" fillId="0" borderId="50" xfId="0" applyNumberFormat="1" applyFont="1" applyBorder="1" applyAlignment="1">
      <alignment vertical="top" wrapText="1"/>
    </xf>
    <xf numFmtId="49" fontId="8" fillId="0" borderId="31" xfId="0" applyNumberFormat="1" applyFont="1" applyBorder="1" applyAlignment="1">
      <alignment horizontal="left" vertical="top"/>
    </xf>
    <xf numFmtId="49" fontId="8" fillId="0" borderId="31" xfId="0" applyNumberFormat="1" applyFont="1" applyBorder="1" applyAlignment="1">
      <alignment horizontal="center" vertical="top" wrapText="1"/>
    </xf>
    <xf numFmtId="165" fontId="7" fillId="0" borderId="31" xfId="0" applyNumberFormat="1" applyFont="1" applyFill="1" applyBorder="1" applyAlignment="1">
      <alignment horizontal="right" vertical="top"/>
    </xf>
    <xf numFmtId="0" fontId="38" fillId="0" borderId="31" xfId="0" applyNumberFormat="1" applyFont="1" applyFill="1" applyBorder="1"/>
    <xf numFmtId="0" fontId="7" fillId="13" borderId="31" xfId="0" applyNumberFormat="1" applyFont="1" applyFill="1" applyBorder="1" applyAlignment="1">
      <alignment horizontal="left" vertical="top" wrapText="1"/>
    </xf>
    <xf numFmtId="49" fontId="7" fillId="13" borderId="31" xfId="0" applyNumberFormat="1" applyFont="1" applyFill="1" applyBorder="1" applyAlignment="1">
      <alignment horizontal="left" vertical="top" wrapText="1"/>
    </xf>
    <xf numFmtId="49" fontId="7" fillId="13" borderId="31" xfId="0" applyNumberFormat="1" applyFont="1" applyFill="1" applyBorder="1" applyAlignment="1">
      <alignment horizontal="center" vertical="top" wrapText="1"/>
    </xf>
    <xf numFmtId="165" fontId="7" fillId="13" borderId="31" xfId="0" applyNumberFormat="1" applyFont="1" applyFill="1" applyBorder="1" applyAlignment="1">
      <alignment horizontal="right" vertical="top"/>
    </xf>
    <xf numFmtId="165" fontId="8" fillId="13" borderId="31" xfId="0" applyNumberFormat="1" applyFont="1" applyFill="1" applyBorder="1" applyAlignment="1">
      <alignment horizontal="right" vertical="top"/>
    </xf>
    <xf numFmtId="0" fontId="38" fillId="13" borderId="31" xfId="0" applyNumberFormat="1" applyFont="1" applyFill="1" applyBorder="1"/>
    <xf numFmtId="165" fontId="7" fillId="14" borderId="31" xfId="0" applyNumberFormat="1" applyFont="1" applyFill="1" applyBorder="1" applyAlignment="1">
      <alignment horizontal="right" vertical="top"/>
    </xf>
    <xf numFmtId="0" fontId="40" fillId="0" borderId="50" xfId="0" applyNumberFormat="1" applyFont="1" applyBorder="1"/>
    <xf numFmtId="165" fontId="8" fillId="9" borderId="31" xfId="0" applyNumberFormat="1" applyFont="1" applyFill="1" applyBorder="1" applyAlignment="1">
      <alignment horizontal="right" vertical="top"/>
    </xf>
    <xf numFmtId="0" fontId="7" fillId="9" borderId="31" xfId="0" applyNumberFormat="1" applyFont="1" applyFill="1" applyBorder="1" applyAlignment="1">
      <alignment horizontal="left" vertical="top" wrapText="1"/>
    </xf>
    <xf numFmtId="49" fontId="7" fillId="9" borderId="31" xfId="0" applyNumberFormat="1" applyFont="1" applyFill="1" applyBorder="1" applyAlignment="1">
      <alignment horizontal="left" vertical="top"/>
    </xf>
    <xf numFmtId="165" fontId="7" fillId="9" borderId="31" xfId="0" applyNumberFormat="1" applyFont="1" applyFill="1" applyBorder="1" applyAlignment="1">
      <alignment horizontal="right" vertical="top"/>
    </xf>
    <xf numFmtId="0" fontId="7" fillId="9" borderId="34" xfId="0" applyNumberFormat="1" applyFont="1" applyFill="1" applyBorder="1" applyAlignment="1">
      <alignment horizontal="left" vertical="top" wrapText="1"/>
    </xf>
    <xf numFmtId="49" fontId="8" fillId="9" borderId="31" xfId="0" applyNumberFormat="1" applyFont="1" applyFill="1" applyBorder="1" applyAlignment="1">
      <alignment horizontal="center" vertical="top" wrapText="1"/>
    </xf>
    <xf numFmtId="0" fontId="38" fillId="0" borderId="31" xfId="0" applyNumberFormat="1" applyFont="1" applyBorder="1" applyAlignment="1">
      <alignment horizontal="center" vertical="top" wrapText="1"/>
    </xf>
    <xf numFmtId="0" fontId="38" fillId="0" borderId="31" xfId="0" applyNumberFormat="1" applyFont="1" applyBorder="1" applyAlignment="1">
      <alignment horizontal="left" vertical="top"/>
    </xf>
    <xf numFmtId="0" fontId="38" fillId="0" borderId="31" xfId="0" applyNumberFormat="1" applyFont="1" applyBorder="1" applyAlignment="1">
      <alignment horizontal="center" vertical="top"/>
    </xf>
    <xf numFmtId="0" fontId="38" fillId="0" borderId="31" xfId="0" applyNumberFormat="1" applyFont="1" applyBorder="1" applyAlignment="1">
      <alignment horizontal="right" vertical="top"/>
    </xf>
    <xf numFmtId="49" fontId="38" fillId="0" borderId="31" xfId="0" applyNumberFormat="1" applyFont="1" applyBorder="1" applyAlignment="1">
      <alignment horizontal="left" vertical="top" wrapText="1"/>
    </xf>
    <xf numFmtId="0" fontId="38" fillId="12" borderId="31" xfId="0" applyNumberFormat="1" applyFont="1" applyFill="1" applyBorder="1" applyAlignment="1">
      <alignment horizontal="left" vertical="top" wrapText="1"/>
    </xf>
    <xf numFmtId="0" fontId="38" fillId="12" borderId="31" xfId="0" applyNumberFormat="1" applyFont="1" applyFill="1" applyBorder="1" applyAlignment="1">
      <alignment horizontal="center" vertical="top" wrapText="1"/>
    </xf>
    <xf numFmtId="49" fontId="38" fillId="0" borderId="31" xfId="0" applyNumberFormat="1" applyFont="1" applyBorder="1" applyAlignment="1">
      <alignment horizontal="center" vertical="top" wrapText="1"/>
    </xf>
    <xf numFmtId="49" fontId="38" fillId="0" borderId="39" xfId="0" applyNumberFormat="1" applyFont="1" applyBorder="1" applyAlignment="1">
      <alignment horizontal="center" vertical="top" wrapText="1"/>
    </xf>
    <xf numFmtId="0" fontId="38" fillId="0" borderId="39" xfId="0" applyNumberFormat="1" applyFont="1" applyBorder="1" applyAlignment="1">
      <alignment horizontal="center" vertical="top" wrapText="1"/>
    </xf>
    <xf numFmtId="2" fontId="38" fillId="10" borderId="31" xfId="0" applyNumberFormat="1" applyFont="1" applyFill="1" applyBorder="1"/>
    <xf numFmtId="165" fontId="7" fillId="11" borderId="31" xfId="0" applyNumberFormat="1" applyFont="1" applyFill="1" applyBorder="1" applyAlignment="1">
      <alignment horizontal="right" vertical="top"/>
    </xf>
    <xf numFmtId="0" fontId="38" fillId="10" borderId="31" xfId="0" applyNumberFormat="1" applyFont="1" applyFill="1" applyBorder="1" applyAlignment="1">
      <alignment horizontal="left" vertical="top" wrapText="1"/>
    </xf>
    <xf numFmtId="0" fontId="7" fillId="0" borderId="34" xfId="0" applyNumberFormat="1" applyFont="1" applyBorder="1" applyAlignment="1">
      <alignment vertical="top" wrapText="1"/>
    </xf>
    <xf numFmtId="165" fontId="8" fillId="10" borderId="31" xfId="0" applyNumberFormat="1" applyFont="1" applyFill="1" applyBorder="1" applyAlignment="1">
      <alignment horizontal="right" vertical="top"/>
    </xf>
    <xf numFmtId="0" fontId="38" fillId="0" borderId="34" xfId="0" applyNumberFormat="1" applyFont="1" applyBorder="1" applyAlignment="1">
      <alignment horizontal="center" vertical="top"/>
    </xf>
    <xf numFmtId="0" fontId="38" fillId="0" borderId="34" xfId="0" applyNumberFormat="1" applyFont="1" applyBorder="1" applyAlignment="1">
      <alignment horizontal="center" vertical="top" wrapText="1"/>
    </xf>
    <xf numFmtId="0" fontId="38" fillId="0" borderId="34" xfId="0" applyNumberFormat="1" applyFont="1" applyBorder="1" applyAlignment="1">
      <alignment horizontal="left" vertical="top" wrapText="1"/>
    </xf>
    <xf numFmtId="0" fontId="38" fillId="0" borderId="39" xfId="0" applyNumberFormat="1" applyFont="1" applyBorder="1" applyAlignment="1">
      <alignment horizontal="center" vertical="top"/>
    </xf>
    <xf numFmtId="0" fontId="38" fillId="0" borderId="39" xfId="0" applyNumberFormat="1" applyFont="1" applyBorder="1" applyAlignment="1">
      <alignment horizontal="left" vertical="top" wrapText="1"/>
    </xf>
    <xf numFmtId="165" fontId="7" fillId="0" borderId="39" xfId="0" applyNumberFormat="1" applyFont="1" applyBorder="1" applyAlignment="1">
      <alignment horizontal="right" vertical="top"/>
    </xf>
    <xf numFmtId="0" fontId="44" fillId="0" borderId="0" xfId="0" applyNumberFormat="1" applyFont="1" applyAlignment="1">
      <alignment vertical="center"/>
    </xf>
    <xf numFmtId="0" fontId="45" fillId="0" borderId="0" xfId="0" applyNumberFormat="1" applyFont="1" applyAlignment="1">
      <alignment vertical="center"/>
    </xf>
    <xf numFmtId="0" fontId="2" fillId="8" borderId="0" xfId="0" applyNumberFormat="1" applyFont="1" applyFill="1"/>
    <xf numFmtId="0" fontId="40" fillId="0" borderId="0" xfId="0" applyNumberFormat="1" applyFont="1"/>
    <xf numFmtId="0" fontId="4" fillId="8" borderId="0" xfId="0" applyNumberFormat="1" applyFont="1" applyFill="1"/>
    <xf numFmtId="0" fontId="7" fillId="8" borderId="0" xfId="0" applyNumberFormat="1" applyFont="1" applyFill="1" applyAlignment="1">
      <alignment horizontal="center" vertical="center" wrapText="1"/>
    </xf>
    <xf numFmtId="0" fontId="7" fillId="8" borderId="39" xfId="0" applyNumberFormat="1" applyFont="1" applyFill="1" applyBorder="1" applyAlignment="1">
      <alignment horizontal="center" vertical="center" wrapText="1"/>
    </xf>
    <xf numFmtId="0" fontId="8" fillId="8" borderId="57" xfId="0" applyNumberFormat="1" applyFont="1" applyFill="1" applyBorder="1" applyAlignment="1">
      <alignment horizontal="left" vertical="center" wrapText="1"/>
    </xf>
    <xf numFmtId="165" fontId="8" fillId="0" borderId="57" xfId="0" applyNumberFormat="1" applyFont="1" applyBorder="1" applyAlignment="1">
      <alignment horizontal="right" vertical="center" wrapText="1"/>
    </xf>
    <xf numFmtId="165" fontId="8" fillId="0" borderId="57" xfId="0" applyNumberFormat="1" applyFont="1" applyBorder="1" applyAlignment="1">
      <alignment horizontal="right" vertical="center"/>
    </xf>
    <xf numFmtId="165" fontId="8" fillId="8" borderId="57" xfId="0" applyNumberFormat="1" applyFont="1" applyFill="1" applyBorder="1" applyAlignment="1">
      <alignment horizontal="right" vertical="center"/>
    </xf>
    <xf numFmtId="165" fontId="8" fillId="0" borderId="58" xfId="0" applyNumberFormat="1" applyFont="1" applyBorder="1" applyAlignment="1">
      <alignment horizontal="right" vertical="center"/>
    </xf>
    <xf numFmtId="0" fontId="7" fillId="8" borderId="31" xfId="0" applyNumberFormat="1" applyFont="1" applyFill="1" applyBorder="1" applyAlignment="1">
      <alignment horizontal="left" vertical="center" wrapText="1"/>
    </xf>
    <xf numFmtId="165" fontId="8" fillId="0" borderId="31" xfId="0" applyNumberFormat="1" applyFont="1" applyBorder="1" applyAlignment="1">
      <alignment horizontal="right" vertical="center" wrapText="1"/>
    </xf>
    <xf numFmtId="165" fontId="7" fillId="0" borderId="31" xfId="0" applyNumberFormat="1" applyFont="1" applyBorder="1" applyAlignment="1">
      <alignment horizontal="right" vertical="center"/>
    </xf>
    <xf numFmtId="165" fontId="7" fillId="8" borderId="31" xfId="0" applyNumberFormat="1" applyFont="1" applyFill="1" applyBorder="1" applyAlignment="1">
      <alignment horizontal="right" vertical="center"/>
    </xf>
    <xf numFmtId="165" fontId="7" fillId="0" borderId="60" xfId="0" applyNumberFormat="1" applyFont="1" applyBorder="1" applyAlignment="1">
      <alignment horizontal="right" vertical="center"/>
    </xf>
    <xf numFmtId="0" fontId="7" fillId="8" borderId="31" xfId="0" applyNumberFormat="1" applyFont="1" applyFill="1" applyBorder="1" applyAlignment="1">
      <alignment horizontal="left" vertical="center" wrapText="1" indent="1"/>
    </xf>
    <xf numFmtId="165" fontId="7" fillId="0" borderId="61" xfId="0" applyNumberFormat="1" applyFont="1" applyBorder="1" applyAlignment="1">
      <alignment horizontal="right" vertical="center"/>
    </xf>
    <xf numFmtId="0" fontId="7" fillId="8" borderId="31" xfId="0" applyNumberFormat="1" applyFont="1" applyFill="1" applyBorder="1" applyAlignment="1">
      <alignment vertical="center" wrapText="1"/>
    </xf>
    <xf numFmtId="0" fontId="7" fillId="8" borderId="64" xfId="0" applyNumberFormat="1" applyFont="1" applyFill="1" applyBorder="1" applyAlignment="1">
      <alignment vertical="center" wrapText="1"/>
    </xf>
    <xf numFmtId="165" fontId="8" fillId="0" borderId="64" xfId="0" applyNumberFormat="1" applyFont="1" applyBorder="1" applyAlignment="1">
      <alignment horizontal="right" vertical="center" wrapText="1"/>
    </xf>
    <xf numFmtId="165" fontId="7" fillId="0" borderId="64" xfId="0" applyNumberFormat="1" applyFont="1" applyBorder="1" applyAlignment="1">
      <alignment horizontal="right" vertical="center"/>
    </xf>
    <xf numFmtId="165" fontId="7" fillId="8" borderId="64" xfId="0" applyNumberFormat="1" applyFont="1" applyFill="1" applyBorder="1" applyAlignment="1">
      <alignment horizontal="right" vertical="center"/>
    </xf>
    <xf numFmtId="165" fontId="7" fillId="0" borderId="65" xfId="0" applyNumberFormat="1" applyFont="1" applyBorder="1" applyAlignment="1">
      <alignment horizontal="right" vertical="center"/>
    </xf>
    <xf numFmtId="0" fontId="8" fillId="8" borderId="34" xfId="0" applyNumberFormat="1" applyFont="1" applyFill="1" applyBorder="1" applyAlignment="1">
      <alignment horizontal="left" vertical="center" wrapText="1"/>
    </xf>
    <xf numFmtId="165" fontId="8" fillId="0" borderId="34" xfId="0" applyNumberFormat="1" applyFont="1" applyBorder="1" applyAlignment="1">
      <alignment horizontal="right" vertical="center" wrapText="1"/>
    </xf>
    <xf numFmtId="165" fontId="8" fillId="8" borderId="34" xfId="0" applyNumberFormat="1" applyFont="1" applyFill="1" applyBorder="1" applyAlignment="1">
      <alignment horizontal="right" vertical="center" wrapText="1"/>
    </xf>
    <xf numFmtId="165" fontId="8" fillId="0" borderId="40" xfId="0" applyNumberFormat="1" applyFont="1" applyBorder="1" applyAlignment="1">
      <alignment horizontal="right" vertical="center" wrapText="1"/>
    </xf>
    <xf numFmtId="165" fontId="7" fillId="0" borderId="31" xfId="0" applyNumberFormat="1" applyFont="1" applyBorder="1" applyAlignment="1">
      <alignment horizontal="right" vertical="center" wrapText="1"/>
    </xf>
    <xf numFmtId="165" fontId="7" fillId="8" borderId="31" xfId="0" applyNumberFormat="1" applyFont="1" applyFill="1" applyBorder="1" applyAlignment="1">
      <alignment horizontal="right" vertical="center" wrapText="1"/>
    </xf>
    <xf numFmtId="165" fontId="7" fillId="0" borderId="60" xfId="0" applyNumberFormat="1" applyFont="1" applyBorder="1" applyAlignment="1">
      <alignment horizontal="right" vertical="center" wrapText="1"/>
    </xf>
    <xf numFmtId="165" fontId="7" fillId="8" borderId="60" xfId="0" applyNumberFormat="1" applyFont="1" applyFill="1" applyBorder="1" applyAlignment="1">
      <alignment horizontal="right" vertical="center" wrapText="1"/>
    </xf>
    <xf numFmtId="0" fontId="7" fillId="8" borderId="39" xfId="0" applyNumberFormat="1" applyFont="1" applyFill="1" applyBorder="1" applyAlignment="1">
      <alignment vertical="center" wrapText="1"/>
    </xf>
    <xf numFmtId="165" fontId="8" fillId="0" borderId="39" xfId="0" applyNumberFormat="1" applyFont="1" applyBorder="1" applyAlignment="1">
      <alignment horizontal="right" vertical="center" wrapText="1"/>
    </xf>
    <xf numFmtId="165" fontId="7" fillId="0" borderId="39" xfId="0" applyNumberFormat="1" applyFont="1" applyBorder="1" applyAlignment="1">
      <alignment horizontal="right" vertical="center" wrapText="1"/>
    </xf>
    <xf numFmtId="165" fontId="7" fillId="8" borderId="39" xfId="0" applyNumberFormat="1" applyFont="1" applyFill="1" applyBorder="1" applyAlignment="1">
      <alignment horizontal="right" vertical="center" wrapText="1"/>
    </xf>
    <xf numFmtId="165" fontId="7" fillId="8" borderId="51" xfId="0" applyNumberFormat="1" applyFont="1" applyFill="1" applyBorder="1" applyAlignment="1">
      <alignment horizontal="right" vertical="center" wrapText="1"/>
    </xf>
    <xf numFmtId="165" fontId="7" fillId="0" borderId="61" xfId="0" applyNumberFormat="1" applyFont="1" applyBorder="1" applyAlignment="1">
      <alignment horizontal="right" vertical="center" wrapText="1"/>
    </xf>
    <xf numFmtId="165" fontId="7" fillId="0" borderId="64" xfId="0" applyNumberFormat="1" applyFont="1" applyBorder="1" applyAlignment="1">
      <alignment horizontal="right" vertical="center" wrapText="1"/>
    </xf>
    <xf numFmtId="165" fontId="7" fillId="8" borderId="64" xfId="0" applyNumberFormat="1" applyFont="1" applyFill="1" applyBorder="1" applyAlignment="1">
      <alignment horizontal="right" vertical="center" wrapText="1"/>
    </xf>
    <xf numFmtId="165" fontId="7" fillId="8" borderId="65" xfId="0" applyNumberFormat="1" applyFont="1" applyFill="1" applyBorder="1" applyAlignment="1">
      <alignment horizontal="right" vertical="center" wrapText="1"/>
    </xf>
    <xf numFmtId="165" fontId="8" fillId="0" borderId="34" xfId="0" applyNumberFormat="1" applyFont="1" applyBorder="1" applyAlignment="1">
      <alignment horizontal="right" vertical="center"/>
    </xf>
    <xf numFmtId="165" fontId="8" fillId="8" borderId="34" xfId="0" applyNumberFormat="1" applyFont="1" applyFill="1" applyBorder="1" applyAlignment="1">
      <alignment horizontal="right" vertical="center"/>
    </xf>
    <xf numFmtId="165" fontId="8" fillId="0" borderId="40" xfId="0" applyNumberFormat="1" applyFont="1" applyBorder="1" applyAlignment="1">
      <alignment horizontal="right" vertical="center"/>
    </xf>
    <xf numFmtId="4" fontId="7" fillId="8" borderId="31" xfId="0" applyNumberFormat="1" applyFont="1" applyFill="1" applyBorder="1" applyAlignment="1">
      <alignment horizontal="right" vertical="center"/>
    </xf>
    <xf numFmtId="165" fontId="7" fillId="8" borderId="60" xfId="0" applyNumberFormat="1" applyFont="1" applyFill="1" applyBorder="1" applyAlignment="1">
      <alignment horizontal="right" vertical="center"/>
    </xf>
    <xf numFmtId="165" fontId="7" fillId="0" borderId="39" xfId="0" applyNumberFormat="1" applyFont="1" applyBorder="1" applyAlignment="1">
      <alignment horizontal="right" vertical="center"/>
    </xf>
    <xf numFmtId="165" fontId="8" fillId="0" borderId="57" xfId="0" applyNumberFormat="1" applyFont="1" applyBorder="1" applyAlignment="1">
      <alignment horizontal="right" vertical="top"/>
    </xf>
    <xf numFmtId="165" fontId="8" fillId="8" borderId="57" xfId="0" applyNumberFormat="1" applyFont="1" applyFill="1" applyBorder="1" applyAlignment="1">
      <alignment horizontal="right" vertical="top"/>
    </xf>
    <xf numFmtId="165" fontId="8" fillId="0" borderId="58" xfId="0" applyNumberFormat="1" applyFont="1" applyBorder="1" applyAlignment="1">
      <alignment horizontal="right" vertical="top"/>
    </xf>
    <xf numFmtId="165" fontId="7" fillId="8" borderId="31" xfId="0" applyNumberFormat="1" applyFont="1" applyFill="1" applyBorder="1" applyAlignment="1">
      <alignment horizontal="right" vertical="top"/>
    </xf>
    <xf numFmtId="165" fontId="7" fillId="0" borderId="60" xfId="0" applyNumberFormat="1" applyFont="1" applyBorder="1" applyAlignment="1">
      <alignment horizontal="right" vertical="top"/>
    </xf>
    <xf numFmtId="165" fontId="7" fillId="8" borderId="61" xfId="0" applyNumberFormat="1" applyFont="1" applyFill="1" applyBorder="1" applyAlignment="1">
      <alignment horizontal="right" vertical="center"/>
    </xf>
    <xf numFmtId="165" fontId="7" fillId="8" borderId="65" xfId="0" applyNumberFormat="1" applyFont="1" applyFill="1" applyBorder="1" applyAlignment="1">
      <alignment horizontal="right" vertical="center"/>
    </xf>
    <xf numFmtId="165" fontId="7" fillId="8" borderId="66" xfId="0" applyNumberFormat="1" applyFont="1" applyFill="1" applyBorder="1" applyAlignment="1">
      <alignment horizontal="right" vertical="center"/>
    </xf>
    <xf numFmtId="165" fontId="8" fillId="8" borderId="40" xfId="0" applyNumberFormat="1" applyFont="1" applyFill="1" applyBorder="1" applyAlignment="1">
      <alignment horizontal="right" vertical="center"/>
    </xf>
    <xf numFmtId="165" fontId="7" fillId="0" borderId="51" xfId="0" applyNumberFormat="1" applyFont="1" applyBorder="1" applyAlignment="1">
      <alignment horizontal="right" vertical="center" wrapText="1"/>
    </xf>
    <xf numFmtId="165" fontId="8" fillId="8" borderId="57" xfId="0" applyNumberFormat="1" applyFont="1" applyFill="1" applyBorder="1" applyAlignment="1">
      <alignment horizontal="right" vertical="center" wrapText="1"/>
    </xf>
    <xf numFmtId="165" fontId="8" fillId="0" borderId="58" xfId="0" applyNumberFormat="1" applyFont="1" applyBorder="1" applyAlignment="1">
      <alignment horizontal="right" vertical="center" wrapText="1"/>
    </xf>
    <xf numFmtId="165" fontId="7" fillId="8" borderId="61" xfId="0" applyNumberFormat="1" applyFont="1" applyFill="1" applyBorder="1" applyAlignment="1">
      <alignment horizontal="right" vertical="center" wrapText="1"/>
    </xf>
    <xf numFmtId="165" fontId="7" fillId="0" borderId="65" xfId="0" applyNumberFormat="1" applyFont="1" applyBorder="1" applyAlignment="1">
      <alignment horizontal="right" vertical="center" wrapText="1"/>
    </xf>
    <xf numFmtId="165" fontId="7" fillId="0" borderId="66" xfId="0" applyNumberFormat="1" applyFont="1" applyBorder="1" applyAlignment="1">
      <alignment horizontal="right" vertical="center" wrapText="1"/>
    </xf>
    <xf numFmtId="0" fontId="7" fillId="0" borderId="2" xfId="0" applyNumberFormat="1" applyFont="1" applyBorder="1" applyAlignment="1">
      <alignment horizontal="center" vertical="top" wrapText="1"/>
    </xf>
    <xf numFmtId="0" fontId="7" fillId="0" borderId="24" xfId="0" applyNumberFormat="1" applyFont="1" applyBorder="1" applyAlignment="1">
      <alignment horizontal="center" vertical="top" wrapText="1"/>
    </xf>
    <xf numFmtId="0" fontId="7" fillId="0" borderId="21" xfId="0" applyNumberFormat="1" applyFont="1" applyBorder="1" applyAlignment="1">
      <alignment horizontal="center" vertical="top" wrapText="1"/>
    </xf>
    <xf numFmtId="0" fontId="7" fillId="0" borderId="28" xfId="0" applyNumberFormat="1" applyFont="1" applyBorder="1" applyAlignment="1">
      <alignment horizontal="center" vertical="top" wrapText="1"/>
    </xf>
    <xf numFmtId="0" fontId="7" fillId="0" borderId="12" xfId="0" applyNumberFormat="1" applyFont="1" applyBorder="1" applyAlignment="1">
      <alignment horizontal="center" vertical="top" wrapText="1"/>
    </xf>
    <xf numFmtId="0" fontId="7" fillId="0" borderId="29" xfId="0" applyNumberFormat="1" applyFont="1" applyBorder="1" applyAlignment="1">
      <alignment horizontal="center" vertical="top" wrapText="1"/>
    </xf>
    <xf numFmtId="0" fontId="5" fillId="0" borderId="0" xfId="0" applyNumberFormat="1" applyFont="1" applyAlignment="1">
      <alignment horizontal="center"/>
    </xf>
    <xf numFmtId="0" fontId="7" fillId="0" borderId="4" xfId="0" applyNumberFormat="1" applyFont="1" applyBorder="1" applyAlignment="1">
      <alignment horizontal="center" vertical="top" wrapText="1"/>
    </xf>
    <xf numFmtId="0" fontId="7" fillId="0" borderId="5" xfId="0" applyNumberFormat="1" applyFont="1" applyBorder="1" applyAlignment="1">
      <alignment horizontal="center" vertical="top" wrapText="1"/>
    </xf>
    <xf numFmtId="0" fontId="4" fillId="6" borderId="0" xfId="0" applyNumberFormat="1" applyFont="1" applyFill="1" applyAlignment="1">
      <alignment horizontal="center"/>
    </xf>
    <xf numFmtId="0" fontId="7" fillId="0" borderId="2"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34" fillId="0" borderId="0" xfId="0" applyNumberFormat="1" applyFont="1" applyAlignment="1">
      <alignment horizontal="center"/>
    </xf>
    <xf numFmtId="0" fontId="4" fillId="0" borderId="0" xfId="0" applyNumberFormat="1" applyFont="1" applyAlignment="1">
      <alignment horizontal="center"/>
    </xf>
    <xf numFmtId="0" fontId="34" fillId="6" borderId="0" xfId="0" applyNumberFormat="1" applyFont="1" applyFill="1" applyAlignment="1">
      <alignment horizontal="center" wrapText="1"/>
    </xf>
    <xf numFmtId="0" fontId="4" fillId="6" borderId="0" xfId="0" applyNumberFormat="1" applyFont="1" applyFill="1" applyAlignment="1">
      <alignment horizontal="center" wrapText="1"/>
    </xf>
    <xf numFmtId="0" fontId="7" fillId="0" borderId="23" xfId="0" applyNumberFormat="1" applyFont="1" applyBorder="1" applyAlignment="1">
      <alignment horizontal="center" vertical="top" wrapText="1"/>
    </xf>
    <xf numFmtId="0" fontId="7" fillId="0" borderId="10" xfId="0" applyNumberFormat="1" applyFont="1" applyBorder="1" applyAlignment="1">
      <alignment horizontal="center" vertical="top" wrapText="1"/>
    </xf>
    <xf numFmtId="0" fontId="8" fillId="3" borderId="2" xfId="0" applyNumberFormat="1" applyFont="1" applyFill="1" applyBorder="1" applyAlignment="1">
      <alignment horizontal="left" vertical="top" wrapText="1"/>
    </xf>
    <xf numFmtId="0" fontId="8" fillId="3" borderId="23" xfId="0" applyNumberFormat="1" applyFont="1" applyFill="1" applyBorder="1" applyAlignment="1">
      <alignment horizontal="left" vertical="top" wrapText="1"/>
    </xf>
    <xf numFmtId="0" fontId="8" fillId="3" borderId="10" xfId="0" applyNumberFormat="1" applyFont="1" applyFill="1" applyBorder="1" applyAlignment="1">
      <alignment horizontal="left" vertical="top" wrapText="1"/>
    </xf>
    <xf numFmtId="0" fontId="5" fillId="8" borderId="0" xfId="0" applyNumberFormat="1" applyFont="1" applyFill="1" applyAlignment="1">
      <alignment horizontal="center" vertical="top"/>
    </xf>
    <xf numFmtId="0" fontId="7" fillId="8" borderId="31" xfId="0" applyNumberFormat="1" applyFont="1" applyFill="1" applyBorder="1" applyAlignment="1">
      <alignment horizontal="center" vertical="top" wrapText="1"/>
    </xf>
    <xf numFmtId="0" fontId="7" fillId="8" borderId="32" xfId="0" applyNumberFormat="1" applyFont="1" applyFill="1" applyBorder="1" applyAlignment="1">
      <alignment horizontal="center" vertical="top" wrapText="1"/>
    </xf>
    <xf numFmtId="0" fontId="7" fillId="8" borderId="33" xfId="0" applyNumberFormat="1" applyFont="1" applyFill="1" applyBorder="1" applyAlignment="1">
      <alignment horizontal="center" vertical="top" wrapText="1"/>
    </xf>
    <xf numFmtId="0" fontId="7" fillId="8" borderId="31" xfId="0" applyNumberFormat="1" applyFont="1" applyFill="1" applyBorder="1" applyAlignment="1">
      <alignment horizontal="left" vertical="top" wrapText="1"/>
    </xf>
    <xf numFmtId="0" fontId="7" fillId="8" borderId="34" xfId="0" applyNumberFormat="1" applyFont="1" applyFill="1" applyBorder="1" applyAlignment="1">
      <alignment horizontal="left" vertical="top" wrapText="1"/>
    </xf>
    <xf numFmtId="0" fontId="7" fillId="8" borderId="34" xfId="0" applyNumberFormat="1" applyFont="1" applyFill="1" applyBorder="1" applyAlignment="1">
      <alignment horizontal="center" vertical="top" wrapText="1"/>
    </xf>
    <xf numFmtId="49" fontId="7" fillId="8" borderId="31" xfId="0" applyNumberFormat="1" applyFont="1" applyFill="1" applyBorder="1" applyAlignment="1">
      <alignment horizontal="left" vertical="top" wrapText="1"/>
    </xf>
    <xf numFmtId="49" fontId="7" fillId="8" borderId="34" xfId="0" applyNumberFormat="1" applyFont="1" applyFill="1" applyBorder="1" applyAlignment="1">
      <alignment horizontal="left" vertical="top" wrapText="1"/>
    </xf>
    <xf numFmtId="0" fontId="4" fillId="0" borderId="0" xfId="0" applyNumberFormat="1" applyFont="1" applyAlignment="1">
      <alignment wrapText="1"/>
    </xf>
    <xf numFmtId="0" fontId="5" fillId="0" borderId="0" xfId="0" applyNumberFormat="1" applyFont="1" applyAlignment="1">
      <alignment horizontal="center" vertical="center"/>
    </xf>
    <xf numFmtId="0" fontId="7" fillId="0" borderId="1"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0" fontId="7" fillId="0" borderId="7" xfId="0" applyNumberFormat="1" applyFont="1" applyBorder="1" applyAlignment="1">
      <alignment horizontal="center" vertical="center" wrapText="1"/>
    </xf>
    <xf numFmtId="0" fontId="7" fillId="0" borderId="22" xfId="0" applyNumberFormat="1" applyFont="1" applyBorder="1" applyAlignment="1">
      <alignment horizontal="center" vertical="center" wrapText="1"/>
    </xf>
    <xf numFmtId="0" fontId="7" fillId="0" borderId="25"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3" fillId="0" borderId="8" xfId="0" applyNumberFormat="1" applyFont="1" applyBorder="1" applyAlignment="1">
      <alignment horizontal="center" vertical="center" wrapText="1"/>
    </xf>
    <xf numFmtId="0" fontId="23" fillId="0" borderId="20" xfId="0" applyNumberFormat="1" applyFont="1" applyBorder="1" applyAlignment="1">
      <alignment horizontal="center" vertical="center" wrapText="1"/>
    </xf>
    <xf numFmtId="0" fontId="23" fillId="0" borderId="26" xfId="0" applyNumberFormat="1" applyFont="1" applyBorder="1" applyAlignment="1">
      <alignment horizontal="center" vertical="center" wrapText="1"/>
    </xf>
    <xf numFmtId="0" fontId="8" fillId="3" borderId="1" xfId="0" applyNumberFormat="1" applyFont="1" applyFill="1" applyBorder="1" applyAlignment="1">
      <alignment horizontal="left" vertical="center"/>
    </xf>
    <xf numFmtId="0" fontId="8" fillId="3" borderId="27" xfId="0" applyNumberFormat="1" applyFont="1" applyFill="1" applyBorder="1" applyAlignment="1">
      <alignment horizontal="left" vertical="center"/>
    </xf>
    <xf numFmtId="0" fontId="8" fillId="3" borderId="6" xfId="0" applyNumberFormat="1" applyFont="1" applyFill="1" applyBorder="1" applyAlignment="1">
      <alignment horizontal="left" vertical="center"/>
    </xf>
    <xf numFmtId="0" fontId="7" fillId="0" borderId="31" xfId="0" applyNumberFormat="1" applyFont="1" applyBorder="1" applyAlignment="1">
      <alignment horizontal="center" vertical="center" wrapText="1"/>
    </xf>
    <xf numFmtId="0" fontId="7" fillId="0" borderId="34" xfId="0" applyNumberFormat="1" applyFont="1" applyBorder="1" applyAlignment="1">
      <alignment horizontal="center" vertical="center" wrapText="1"/>
    </xf>
    <xf numFmtId="0" fontId="5" fillId="0" borderId="0" xfId="0" applyNumberFormat="1" applyFont="1" applyAlignment="1">
      <alignment horizontal="center" wrapText="1"/>
    </xf>
    <xf numFmtId="49" fontId="7" fillId="0" borderId="46" xfId="0" applyNumberFormat="1" applyFont="1" applyBorder="1" applyAlignment="1">
      <alignment horizontal="center" vertical="top"/>
    </xf>
    <xf numFmtId="49" fontId="7" fillId="0" borderId="47" xfId="0" applyNumberFormat="1" applyFont="1" applyBorder="1" applyAlignment="1">
      <alignment horizontal="center" vertical="top"/>
    </xf>
    <xf numFmtId="49" fontId="7" fillId="0" borderId="31" xfId="0" applyNumberFormat="1" applyFont="1" applyBorder="1" applyAlignment="1">
      <alignment horizontal="center" vertical="top"/>
    </xf>
    <xf numFmtId="49" fontId="7" fillId="0" borderId="34" xfId="0" applyNumberFormat="1" applyFont="1" applyBorder="1" applyAlignment="1">
      <alignment horizontal="center" vertical="top"/>
    </xf>
    <xf numFmtId="0" fontId="8" fillId="9" borderId="51" xfId="0" applyNumberFormat="1" applyFont="1" applyFill="1" applyBorder="1" applyAlignment="1">
      <alignment horizontal="center" vertical="top" wrapText="1"/>
    </xf>
    <xf numFmtId="0" fontId="8" fillId="9" borderId="44" xfId="0" applyNumberFormat="1" applyFont="1" applyFill="1" applyBorder="1" applyAlignment="1">
      <alignment horizontal="center" vertical="top" wrapText="1"/>
    </xf>
    <xf numFmtId="165" fontId="8" fillId="9" borderId="51" xfId="0" applyNumberFormat="1" applyFont="1" applyFill="1" applyBorder="1" applyAlignment="1">
      <alignment horizontal="center" vertical="top"/>
    </xf>
    <xf numFmtId="165" fontId="8" fillId="9" borderId="44" xfId="0" applyNumberFormat="1" applyFont="1" applyFill="1" applyBorder="1" applyAlignment="1">
      <alignment horizontal="center" vertical="top"/>
    </xf>
    <xf numFmtId="165" fontId="7" fillId="0" borderId="31" xfId="0" applyNumberFormat="1" applyFont="1" applyBorder="1" applyAlignment="1">
      <alignment horizontal="left" vertical="top" wrapText="1"/>
    </xf>
    <xf numFmtId="165" fontId="7" fillId="0" borderId="34" xfId="0" applyNumberFormat="1" applyFont="1" applyBorder="1" applyAlignment="1">
      <alignment horizontal="left" vertical="top" wrapText="1"/>
    </xf>
    <xf numFmtId="165" fontId="7" fillId="0" borderId="31" xfId="0" applyNumberFormat="1" applyFont="1" applyBorder="1" applyAlignment="1">
      <alignment vertical="top" wrapText="1"/>
    </xf>
    <xf numFmtId="165" fontId="7" fillId="0" borderId="34" xfId="0" applyNumberFormat="1" applyFont="1" applyBorder="1" applyAlignment="1">
      <alignment vertical="top" wrapText="1"/>
    </xf>
    <xf numFmtId="165" fontId="8" fillId="9" borderId="48" xfId="0" applyNumberFormat="1" applyFont="1" applyFill="1" applyBorder="1" applyAlignment="1">
      <alignment horizontal="center" vertical="top"/>
    </xf>
    <xf numFmtId="165" fontId="8" fillId="9" borderId="0" xfId="0" applyNumberFormat="1" applyFont="1" applyFill="1" applyAlignment="1">
      <alignment horizontal="center" vertical="top"/>
    </xf>
    <xf numFmtId="165" fontId="7" fillId="0" borderId="50" xfId="0" applyNumberFormat="1" applyFont="1" applyBorder="1" applyAlignment="1">
      <alignment horizontal="left" vertical="top" wrapText="1"/>
    </xf>
    <xf numFmtId="49" fontId="7" fillId="0" borderId="50" xfId="0" applyNumberFormat="1" applyFont="1" applyBorder="1" applyAlignment="1">
      <alignment horizontal="center" vertical="top"/>
    </xf>
    <xf numFmtId="0" fontId="7" fillId="0" borderId="31" xfId="0" applyNumberFormat="1" applyFont="1" applyBorder="1" applyAlignment="1">
      <alignment horizontal="left" vertical="top" wrapText="1"/>
    </xf>
    <xf numFmtId="0" fontId="7" fillId="0" borderId="34" xfId="0" applyNumberFormat="1" applyFont="1" applyBorder="1" applyAlignment="1">
      <alignment horizontal="left" vertical="top" wrapText="1"/>
    </xf>
    <xf numFmtId="0" fontId="23" fillId="0" borderId="31" xfId="0" applyNumberFormat="1" applyFont="1" applyBorder="1" applyAlignment="1">
      <alignment horizontal="center" vertical="center" wrapText="1"/>
    </xf>
    <xf numFmtId="0" fontId="23" fillId="0" borderId="32" xfId="0" applyNumberFormat="1" applyFont="1" applyBorder="1" applyAlignment="1">
      <alignment horizontal="center" vertical="center" wrapText="1"/>
    </xf>
    <xf numFmtId="0" fontId="23" fillId="0" borderId="33" xfId="0" applyNumberFormat="1" applyFont="1" applyBorder="1" applyAlignment="1">
      <alignment horizontal="center" vertical="center" wrapText="1"/>
    </xf>
    <xf numFmtId="49" fontId="7" fillId="0" borderId="36" xfId="0" applyNumberFormat="1" applyFont="1" applyBorder="1" applyAlignment="1">
      <alignment horizontal="center" vertical="top"/>
    </xf>
    <xf numFmtId="49" fontId="7" fillId="0" borderId="41" xfId="0" applyNumberFormat="1" applyFont="1" applyBorder="1" applyAlignment="1">
      <alignment horizontal="center" vertical="top"/>
    </xf>
    <xf numFmtId="165" fontId="8" fillId="9" borderId="39" xfId="0" applyNumberFormat="1" applyFont="1" applyFill="1" applyBorder="1" applyAlignment="1">
      <alignment horizontal="left"/>
    </xf>
    <xf numFmtId="165" fontId="8" fillId="9" borderId="44" xfId="0" applyNumberFormat="1" applyFont="1" applyFill="1" applyBorder="1" applyAlignment="1">
      <alignment horizontal="left"/>
    </xf>
    <xf numFmtId="165" fontId="8" fillId="9" borderId="45" xfId="0" applyNumberFormat="1" applyFont="1" applyFill="1" applyBorder="1" applyAlignment="1">
      <alignment horizontal="left"/>
    </xf>
    <xf numFmtId="49" fontId="7" fillId="0" borderId="52" xfId="0" applyNumberFormat="1" applyFont="1" applyBorder="1" applyAlignment="1">
      <alignment horizontal="center" vertical="top"/>
    </xf>
    <xf numFmtId="49" fontId="7" fillId="0" borderId="43" xfId="0" applyNumberFormat="1" applyFont="1" applyBorder="1" applyAlignment="1">
      <alignment horizontal="center" vertical="top"/>
    </xf>
    <xf numFmtId="49" fontId="7" fillId="0" borderId="53" xfId="0" applyNumberFormat="1" applyFont="1" applyBorder="1" applyAlignment="1">
      <alignment horizontal="center" vertical="top"/>
    </xf>
    <xf numFmtId="49" fontId="7" fillId="0" borderId="49" xfId="0" applyNumberFormat="1" applyFont="1" applyBorder="1" applyAlignment="1">
      <alignment horizontal="center" vertical="top"/>
    </xf>
    <xf numFmtId="0" fontId="7" fillId="0" borderId="32" xfId="0" applyNumberFormat="1" applyFont="1" applyBorder="1" applyAlignment="1">
      <alignment horizontal="center" vertical="center" wrapText="1"/>
    </xf>
    <xf numFmtId="0" fontId="7" fillId="0" borderId="33" xfId="0" applyNumberFormat="1" applyFont="1" applyBorder="1" applyAlignment="1">
      <alignment horizontal="center" vertical="center" wrapText="1"/>
    </xf>
    <xf numFmtId="0" fontId="8" fillId="0" borderId="0" xfId="0" applyNumberFormat="1" applyFont="1" applyAlignment="1">
      <alignment horizontal="center" vertical="center" wrapText="1"/>
    </xf>
    <xf numFmtId="49" fontId="8" fillId="12" borderId="31" xfId="0" applyNumberFormat="1" applyFont="1" applyFill="1" applyBorder="1" applyAlignment="1">
      <alignment horizontal="center" vertical="top"/>
    </xf>
    <xf numFmtId="49" fontId="8" fillId="12" borderId="50" xfId="0" applyNumberFormat="1" applyFont="1" applyFill="1" applyBorder="1" applyAlignment="1">
      <alignment horizontal="center" vertical="top"/>
    </xf>
    <xf numFmtId="49" fontId="8" fillId="12" borderId="34" xfId="0" applyNumberFormat="1" applyFont="1" applyFill="1" applyBorder="1" applyAlignment="1">
      <alignment horizontal="center" vertical="top"/>
    </xf>
    <xf numFmtId="0" fontId="8" fillId="12" borderId="31" xfId="0" applyNumberFormat="1" applyFont="1" applyFill="1" applyBorder="1" applyAlignment="1">
      <alignment horizontal="center" vertical="top" wrapText="1"/>
    </xf>
    <xf numFmtId="0" fontId="8" fillId="12" borderId="50" xfId="0" applyNumberFormat="1" applyFont="1" applyFill="1" applyBorder="1" applyAlignment="1">
      <alignment horizontal="center" vertical="top" wrapText="1"/>
    </xf>
    <xf numFmtId="0" fontId="8" fillId="12" borderId="34" xfId="0" applyNumberFormat="1" applyFont="1" applyFill="1" applyBorder="1" applyAlignment="1">
      <alignment horizontal="center" vertical="top" wrapText="1"/>
    </xf>
    <xf numFmtId="0" fontId="8" fillId="0" borderId="31" xfId="0" applyNumberFormat="1" applyFont="1" applyBorder="1" applyAlignment="1">
      <alignment horizontal="center" vertical="top" wrapText="1"/>
    </xf>
    <xf numFmtId="0" fontId="8" fillId="0" borderId="50" xfId="0" applyNumberFormat="1" applyFont="1" applyBorder="1" applyAlignment="1">
      <alignment horizontal="center" vertical="top" wrapText="1"/>
    </xf>
    <xf numFmtId="0" fontId="8" fillId="0" borderId="34" xfId="0" applyNumberFormat="1" applyFont="1" applyBorder="1" applyAlignment="1">
      <alignment horizontal="center" vertical="top" wrapText="1"/>
    </xf>
    <xf numFmtId="49" fontId="7" fillId="0" borderId="31" xfId="0" quotePrefix="1" applyNumberFormat="1" applyFont="1" applyBorder="1" applyAlignment="1">
      <alignment horizontal="left" vertical="top" wrapText="1"/>
    </xf>
    <xf numFmtId="49" fontId="7" fillId="0" borderId="34" xfId="0" quotePrefix="1" applyNumberFormat="1" applyFont="1" applyBorder="1" applyAlignment="1">
      <alignment horizontal="left" vertical="top" wrapText="1"/>
    </xf>
    <xf numFmtId="0" fontId="7" fillId="0" borderId="31" xfId="0" applyNumberFormat="1" applyFont="1" applyBorder="1" applyAlignment="1">
      <alignment vertical="top" wrapText="1"/>
    </xf>
    <xf numFmtId="0" fontId="7" fillId="0" borderId="50" xfId="0" applyNumberFormat="1" applyFont="1" applyBorder="1" applyAlignment="1">
      <alignment vertical="top" wrapText="1"/>
    </xf>
    <xf numFmtId="0" fontId="7" fillId="0" borderId="34" xfId="0" applyNumberFormat="1" applyFont="1" applyBorder="1" applyAlignment="1">
      <alignment vertical="top" wrapText="1"/>
    </xf>
    <xf numFmtId="0" fontId="7" fillId="0" borderId="31" xfId="0" applyNumberFormat="1" applyFont="1" applyBorder="1" applyAlignment="1">
      <alignment horizontal="justify" vertical="top" wrapText="1"/>
    </xf>
    <xf numFmtId="0" fontId="7" fillId="0" borderId="34" xfId="0" applyNumberFormat="1" applyFont="1" applyBorder="1" applyAlignment="1">
      <alignment horizontal="justify" vertical="top" wrapText="1"/>
    </xf>
    <xf numFmtId="49" fontId="7" fillId="12" borderId="31" xfId="0" applyNumberFormat="1" applyFont="1" applyFill="1" applyBorder="1" applyAlignment="1">
      <alignment horizontal="center" vertical="top"/>
    </xf>
    <xf numFmtId="49" fontId="7" fillId="12" borderId="34" xfId="0" applyNumberFormat="1" applyFont="1" applyFill="1" applyBorder="1" applyAlignment="1">
      <alignment horizontal="center" vertical="top"/>
    </xf>
    <xf numFmtId="0" fontId="38" fillId="0" borderId="31" xfId="0" applyNumberFormat="1" applyFont="1" applyBorder="1" applyAlignment="1">
      <alignment horizontal="center" vertical="top" wrapText="1"/>
    </xf>
    <xf numFmtId="0" fontId="38" fillId="0" borderId="34" xfId="0" applyNumberFormat="1" applyFont="1" applyBorder="1" applyAlignment="1">
      <alignment horizontal="center" vertical="top" wrapText="1"/>
    </xf>
    <xf numFmtId="0" fontId="38" fillId="12" borderId="31" xfId="0" applyNumberFormat="1" applyFont="1" applyFill="1" applyBorder="1" applyAlignment="1">
      <alignment horizontal="center" vertical="top" wrapText="1"/>
    </xf>
    <xf numFmtId="0" fontId="38" fillId="12" borderId="34" xfId="0" applyNumberFormat="1" applyFont="1" applyFill="1" applyBorder="1" applyAlignment="1">
      <alignment horizontal="center" vertical="top" wrapText="1"/>
    </xf>
    <xf numFmtId="49" fontId="7" fillId="0" borderId="31" xfId="0" applyNumberFormat="1" applyFont="1" applyBorder="1" applyAlignment="1">
      <alignment vertical="top" wrapText="1"/>
    </xf>
    <xf numFmtId="49" fontId="7" fillId="0" borderId="50" xfId="0" applyNumberFormat="1" applyFont="1" applyBorder="1" applyAlignment="1">
      <alignment vertical="top" wrapText="1"/>
    </xf>
    <xf numFmtId="49" fontId="7" fillId="0" borderId="34" xfId="0" applyNumberFormat="1" applyFont="1" applyBorder="1" applyAlignment="1">
      <alignment vertical="top" wrapText="1"/>
    </xf>
    <xf numFmtId="0" fontId="38" fillId="0" borderId="31" xfId="0" applyNumberFormat="1" applyFont="1" applyBorder="1" applyAlignment="1">
      <alignment horizontal="left" vertical="top" wrapText="1"/>
    </xf>
    <xf numFmtId="0" fontId="38" fillId="0" borderId="34" xfId="0" applyNumberFormat="1" applyFont="1" applyBorder="1" applyAlignment="1">
      <alignment horizontal="left" vertical="top" wrapText="1"/>
    </xf>
    <xf numFmtId="0" fontId="38" fillId="12" borderId="31" xfId="0" applyNumberFormat="1" applyFont="1" applyFill="1" applyBorder="1" applyAlignment="1">
      <alignment horizontal="left" vertical="top" wrapText="1"/>
    </xf>
    <xf numFmtId="0" fontId="38" fillId="12" borderId="34" xfId="0" applyNumberFormat="1" applyFont="1" applyFill="1" applyBorder="1" applyAlignment="1">
      <alignment horizontal="left" vertical="top" wrapText="1"/>
    </xf>
    <xf numFmtId="0" fontId="7" fillId="0" borderId="31" xfId="0" applyNumberFormat="1" applyFont="1" applyBorder="1" applyAlignment="1">
      <alignment horizontal="center" vertical="top" wrapText="1"/>
    </xf>
    <xf numFmtId="0" fontId="7" fillId="0" borderId="34" xfId="0" applyNumberFormat="1" applyFont="1" applyBorder="1" applyAlignment="1">
      <alignment horizontal="center" vertical="top" wrapText="1"/>
    </xf>
    <xf numFmtId="0" fontId="7" fillId="12" borderId="31" xfId="0" applyNumberFormat="1" applyFont="1" applyFill="1" applyBorder="1" applyAlignment="1">
      <alignment horizontal="left" vertical="top" wrapText="1"/>
    </xf>
    <xf numFmtId="0" fontId="7" fillId="12" borderId="34" xfId="0" applyNumberFormat="1" applyFont="1" applyFill="1" applyBorder="1" applyAlignment="1">
      <alignment horizontal="left" vertical="top" wrapText="1"/>
    </xf>
    <xf numFmtId="0" fontId="7" fillId="0" borderId="50" xfId="0" applyNumberFormat="1" applyFont="1" applyBorder="1" applyAlignment="1">
      <alignment horizontal="justify" vertical="top" wrapText="1"/>
    </xf>
    <xf numFmtId="49" fontId="7" fillId="0" borderId="31" xfId="0" applyNumberFormat="1" applyFont="1" applyBorder="1" applyAlignment="1">
      <alignment horizontal="justify" vertical="top" wrapText="1"/>
    </xf>
    <xf numFmtId="49" fontId="7" fillId="0" borderId="34" xfId="0" applyNumberFormat="1" applyFont="1" applyBorder="1" applyAlignment="1">
      <alignment horizontal="justify" vertical="top" wrapText="1"/>
    </xf>
    <xf numFmtId="0" fontId="7" fillId="0" borderId="50" xfId="0" applyNumberFormat="1" applyFont="1" applyBorder="1" applyAlignment="1">
      <alignment horizontal="left" vertical="top" wrapText="1"/>
    </xf>
    <xf numFmtId="49" fontId="7" fillId="0" borderId="31" xfId="0" applyNumberFormat="1" applyFont="1" applyBorder="1" applyAlignment="1">
      <alignment horizontal="justify" vertical="top"/>
    </xf>
    <xf numFmtId="49" fontId="7" fillId="0" borderId="34" xfId="0" applyNumberFormat="1" applyFont="1" applyBorder="1" applyAlignment="1">
      <alignment horizontal="justify" vertical="top"/>
    </xf>
    <xf numFmtId="0" fontId="8" fillId="12" borderId="31" xfId="0" applyNumberFormat="1" applyFont="1" applyFill="1" applyBorder="1" applyAlignment="1">
      <alignment horizontal="left" vertical="top" wrapText="1"/>
    </xf>
    <xf numFmtId="0" fontId="8" fillId="12" borderId="34" xfId="0" applyNumberFormat="1" applyFont="1" applyFill="1" applyBorder="1" applyAlignment="1">
      <alignment horizontal="left" vertical="top" wrapText="1"/>
    </xf>
    <xf numFmtId="0" fontId="8" fillId="12" borderId="31" xfId="0" applyNumberFormat="1" applyFont="1" applyFill="1" applyBorder="1" applyAlignment="1">
      <alignment vertical="top" wrapText="1"/>
    </xf>
    <xf numFmtId="0" fontId="8" fillId="12" borderId="50" xfId="0" applyNumberFormat="1" applyFont="1" applyFill="1" applyBorder="1" applyAlignment="1">
      <alignment vertical="top" wrapText="1"/>
    </xf>
    <xf numFmtId="0" fontId="8" fillId="12" borderId="34" xfId="0" applyNumberFormat="1" applyFont="1" applyFill="1" applyBorder="1" applyAlignment="1">
      <alignment vertical="top" wrapText="1"/>
    </xf>
    <xf numFmtId="49" fontId="7" fillId="0" borderId="50" xfId="0" quotePrefix="1" applyNumberFormat="1" applyFont="1" applyBorder="1" applyAlignment="1">
      <alignment horizontal="left" vertical="top" wrapText="1"/>
    </xf>
    <xf numFmtId="49" fontId="7" fillId="13" borderId="31" xfId="0" applyNumberFormat="1" applyFont="1" applyFill="1" applyBorder="1" applyAlignment="1">
      <alignment horizontal="center" vertical="top"/>
    </xf>
    <xf numFmtId="49" fontId="7" fillId="13" borderId="34" xfId="0" applyNumberFormat="1" applyFont="1" applyFill="1" applyBorder="1" applyAlignment="1">
      <alignment horizontal="center" vertical="top"/>
    </xf>
    <xf numFmtId="0" fontId="7" fillId="13" borderId="31" xfId="0" applyNumberFormat="1" applyFont="1" applyFill="1" applyBorder="1" applyAlignment="1">
      <alignment horizontal="left" vertical="top" wrapText="1"/>
    </xf>
    <xf numFmtId="0" fontId="7" fillId="13" borderId="34" xfId="0" applyNumberFormat="1" applyFont="1" applyFill="1" applyBorder="1" applyAlignment="1">
      <alignment horizontal="left" vertical="top" wrapText="1"/>
    </xf>
    <xf numFmtId="49" fontId="8" fillId="9" borderId="31" xfId="0" applyNumberFormat="1" applyFont="1" applyFill="1" applyBorder="1" applyAlignment="1">
      <alignment horizontal="center" vertical="top"/>
    </xf>
    <xf numFmtId="49" fontId="8" fillId="9" borderId="50" xfId="0" applyNumberFormat="1" applyFont="1" applyFill="1" applyBorder="1" applyAlignment="1">
      <alignment horizontal="center" vertical="top"/>
    </xf>
    <xf numFmtId="49" fontId="8" fillId="9" borderId="34" xfId="0" applyNumberFormat="1" applyFont="1" applyFill="1" applyBorder="1" applyAlignment="1">
      <alignment horizontal="center" vertical="top"/>
    </xf>
    <xf numFmtId="0" fontId="8" fillId="9" borderId="31" xfId="0" applyNumberFormat="1" applyFont="1" applyFill="1" applyBorder="1" applyAlignment="1">
      <alignment horizontal="left" vertical="top" wrapText="1"/>
    </xf>
    <xf numFmtId="0" fontId="8" fillId="9" borderId="50" xfId="0" applyNumberFormat="1" applyFont="1" applyFill="1" applyBorder="1" applyAlignment="1">
      <alignment horizontal="left" vertical="top" wrapText="1"/>
    </xf>
    <xf numFmtId="0" fontId="8" fillId="9" borderId="34" xfId="0" applyNumberFormat="1" applyFont="1" applyFill="1" applyBorder="1" applyAlignment="1">
      <alignment horizontal="left" vertical="top" wrapText="1"/>
    </xf>
    <xf numFmtId="49" fontId="7" fillId="0" borderId="31" xfId="0" applyNumberFormat="1" applyFont="1" applyBorder="1" applyAlignment="1">
      <alignment horizontal="left" vertical="top" wrapText="1"/>
    </xf>
    <xf numFmtId="49" fontId="7" fillId="0" borderId="34" xfId="0" applyNumberFormat="1" applyFont="1" applyBorder="1" applyAlignment="1">
      <alignment horizontal="left" vertical="top" wrapText="1"/>
    </xf>
    <xf numFmtId="49" fontId="7" fillId="9" borderId="31" xfId="0" applyNumberFormat="1" applyFont="1" applyFill="1" applyBorder="1" applyAlignment="1">
      <alignment horizontal="center" vertical="top"/>
    </xf>
    <xf numFmtId="49" fontId="7" fillId="9" borderId="34" xfId="0" applyNumberFormat="1" applyFont="1" applyFill="1" applyBorder="1" applyAlignment="1">
      <alignment horizontal="center" vertical="top"/>
    </xf>
    <xf numFmtId="0" fontId="38" fillId="0" borderId="50" xfId="0" applyNumberFormat="1" applyFont="1" applyBorder="1" applyAlignment="1">
      <alignment horizontal="left" vertical="top" wrapText="1"/>
    </xf>
    <xf numFmtId="49" fontId="38" fillId="0" borderId="31" xfId="0" applyNumberFormat="1" applyFont="1" applyBorder="1" applyAlignment="1">
      <alignment horizontal="center" vertical="top" wrapText="1"/>
    </xf>
    <xf numFmtId="49" fontId="38" fillId="0" borderId="34" xfId="0" applyNumberFormat="1" applyFont="1" applyBorder="1" applyAlignment="1">
      <alignment horizontal="center" vertical="top" wrapText="1"/>
    </xf>
    <xf numFmtId="0" fontId="38" fillId="0" borderId="31" xfId="0" applyNumberFormat="1" applyFont="1" applyBorder="1" applyAlignment="1">
      <alignment vertical="top" wrapText="1"/>
    </xf>
    <xf numFmtId="0" fontId="38" fillId="0" borderId="34" xfId="0" applyNumberFormat="1" applyFont="1" applyBorder="1" applyAlignment="1">
      <alignment vertical="top" wrapText="1"/>
    </xf>
    <xf numFmtId="0" fontId="38" fillId="0" borderId="31" xfId="0" applyNumberFormat="1" applyFont="1" applyBorder="1" applyAlignment="1">
      <alignment horizontal="center" vertical="top"/>
    </xf>
    <xf numFmtId="0" fontId="38" fillId="0" borderId="34" xfId="0" applyNumberFormat="1" applyFont="1" applyBorder="1" applyAlignment="1">
      <alignment horizontal="center" vertical="top"/>
    </xf>
    <xf numFmtId="0" fontId="7" fillId="8" borderId="50" xfId="0" applyNumberFormat="1" applyFont="1" applyFill="1" applyBorder="1" applyAlignment="1">
      <alignment horizontal="left" vertical="center" wrapText="1"/>
    </xf>
    <xf numFmtId="0" fontId="7" fillId="0" borderId="56" xfId="0" applyNumberFormat="1" applyFont="1" applyBorder="1" applyAlignment="1">
      <alignment horizontal="left" vertical="center" wrapText="1"/>
    </xf>
    <xf numFmtId="0" fontId="7" fillId="0" borderId="50"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0" fontId="7" fillId="8" borderId="56" xfId="0" applyNumberFormat="1" applyFont="1" applyFill="1" applyBorder="1" applyAlignment="1">
      <alignment horizontal="left" vertical="center" wrapText="1"/>
    </xf>
    <xf numFmtId="0" fontId="7" fillId="8" borderId="63" xfId="0" applyNumberFormat="1" applyFont="1" applyFill="1" applyBorder="1" applyAlignment="1">
      <alignment horizontal="left" vertical="center" wrapText="1"/>
    </xf>
    <xf numFmtId="0" fontId="4" fillId="0" borderId="0" xfId="0" applyNumberFormat="1" applyFont="1" applyAlignment="1">
      <alignment horizontal="center" wrapText="1"/>
    </xf>
    <xf numFmtId="0" fontId="7" fillId="0" borderId="39" xfId="0" applyNumberFormat="1" applyFont="1" applyBorder="1" applyAlignment="1">
      <alignment horizontal="center" vertical="center" wrapText="1"/>
    </xf>
    <xf numFmtId="0" fontId="7" fillId="0" borderId="50" xfId="0" applyNumberFormat="1" applyFont="1" applyBorder="1" applyAlignment="1">
      <alignment horizontal="center" vertical="center" wrapText="1"/>
    </xf>
    <xf numFmtId="0" fontId="7" fillId="8" borderId="39" xfId="0" applyNumberFormat="1" applyFont="1" applyFill="1" applyBorder="1" applyAlignment="1">
      <alignment horizontal="center" vertical="center" wrapText="1"/>
    </xf>
    <xf numFmtId="0" fontId="7" fillId="8" borderId="50" xfId="0" applyNumberFormat="1" applyFont="1" applyFill="1" applyBorder="1" applyAlignment="1">
      <alignment horizontal="center" vertical="center" wrapText="1"/>
    </xf>
    <xf numFmtId="0" fontId="7" fillId="8" borderId="40" xfId="0" applyNumberFormat="1" applyFont="1" applyFill="1" applyBorder="1" applyAlignment="1">
      <alignment horizontal="center" vertical="center" wrapText="1"/>
    </xf>
    <xf numFmtId="0" fontId="7" fillId="8" borderId="42" xfId="0" applyNumberFormat="1" applyFont="1" applyFill="1" applyBorder="1" applyAlignment="1">
      <alignment horizontal="center" vertical="center" wrapText="1"/>
    </xf>
    <xf numFmtId="0" fontId="7" fillId="0" borderId="51" xfId="0" applyNumberFormat="1" applyFont="1" applyBorder="1" applyAlignment="1">
      <alignment horizontal="center" vertical="center" wrapText="1"/>
    </xf>
    <xf numFmtId="0" fontId="7" fillId="0" borderId="48" xfId="0" applyNumberFormat="1" applyFont="1" applyBorder="1" applyAlignment="1">
      <alignment horizontal="center" vertical="center" wrapText="1"/>
    </xf>
    <xf numFmtId="49" fontId="7" fillId="8" borderId="55" xfId="0" applyNumberFormat="1" applyFont="1" applyFill="1" applyBorder="1" applyAlignment="1">
      <alignment horizontal="center" vertical="center"/>
    </xf>
    <xf numFmtId="49" fontId="7" fillId="8" borderId="59" xfId="0" applyNumberFormat="1" applyFont="1" applyFill="1" applyBorder="1" applyAlignment="1">
      <alignment horizontal="center" vertical="center"/>
    </xf>
    <xf numFmtId="49" fontId="7" fillId="8" borderId="62" xfId="0" applyNumberFormat="1" applyFont="1" applyFill="1" applyBorder="1" applyAlignment="1">
      <alignment horizontal="center" vertical="center"/>
    </xf>
    <xf numFmtId="0" fontId="7" fillId="8" borderId="31" xfId="0" applyNumberFormat="1" applyFont="1" applyFill="1" applyBorder="1" applyAlignment="1">
      <alignment horizontal="center" vertical="center" wrapText="1"/>
    </xf>
    <xf numFmtId="0" fontId="7" fillId="8" borderId="45" xfId="0" applyNumberFormat="1" applyFont="1" applyFill="1" applyBorder="1" applyAlignment="1">
      <alignment horizontal="center" vertical="center" wrapText="1"/>
    </xf>
    <xf numFmtId="0" fontId="7" fillId="8" borderId="54" xfId="0" applyNumberFormat="1" applyFont="1" applyFill="1" applyBorder="1" applyAlignment="1">
      <alignment horizontal="center" vertical="center" wrapText="1"/>
    </xf>
    <xf numFmtId="49" fontId="7" fillId="8" borderId="56" xfId="0" applyNumberFormat="1" applyFont="1" applyFill="1" applyBorder="1" applyAlignment="1">
      <alignment horizontal="center" vertical="center"/>
    </xf>
    <xf numFmtId="49" fontId="7" fillId="8" borderId="50" xfId="0" applyNumberFormat="1" applyFont="1" applyFill="1" applyBorder="1" applyAlignment="1">
      <alignment horizontal="center" vertical="center"/>
    </xf>
    <xf numFmtId="49" fontId="7" fillId="8" borderId="63" xfId="0" applyNumberFormat="1" applyFont="1" applyFill="1" applyBorder="1" applyAlignment="1">
      <alignment horizontal="center" vertical="center"/>
    </xf>
    <xf numFmtId="0" fontId="27" fillId="0" borderId="0" xfId="0" applyNumberFormat="1" applyFont="1" applyAlignment="1">
      <alignment horizontal="left" vertical="top" wrapText="1"/>
    </xf>
    <xf numFmtId="0" fontId="27" fillId="0" borderId="0" xfId="0" applyNumberFormat="1" applyFont="1" applyAlignment="1">
      <alignment horizontal="center" vertical="top" wrapText="1"/>
    </xf>
    <xf numFmtId="0" fontId="15" fillId="0" borderId="16" xfId="0" applyNumberFormat="1" applyFont="1" applyBorder="1" applyAlignment="1">
      <alignment horizontal="center" wrapText="1"/>
    </xf>
    <xf numFmtId="0" fontId="15" fillId="0" borderId="17" xfId="0" applyNumberFormat="1" applyFont="1" applyBorder="1" applyAlignment="1">
      <alignment horizontal="center" wrapText="1"/>
    </xf>
    <xf numFmtId="0" fontId="27" fillId="0" borderId="16" xfId="0" applyNumberFormat="1" applyFont="1" applyBorder="1" applyAlignment="1">
      <alignment horizontal="center" wrapText="1"/>
    </xf>
    <xf numFmtId="0" fontId="27" fillId="0" borderId="18" xfId="0" applyNumberFormat="1" applyFont="1" applyBorder="1" applyAlignment="1">
      <alignment horizontal="center" wrapText="1"/>
    </xf>
  </cellXfs>
  <cellStyles count="1">
    <cellStyle name="Обычный" xfId="0" builtinId="0"/>
  </cellStyles>
  <dxfs count="1">
    <dxf>
      <fill>
        <patternFill patternType="solid">
          <bgColor rgb="FFFF00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5</xdr:col>
      <xdr:colOff>276225</xdr:colOff>
      <xdr:row>7</xdr:row>
      <xdr:rowOff>19050</xdr:rowOff>
    </xdr:from>
    <xdr:to>
      <xdr:col>5</xdr:col>
      <xdr:colOff>466725</xdr:colOff>
      <xdr:row>7</xdr:row>
      <xdr:rowOff>171450</xdr:rowOff>
    </xdr:to>
    <xdr:pic>
      <xdr:nvPicPr>
        <xdr:cNvPr id="30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4038600" y="2381250"/>
          <a:ext cx="190500" cy="152400"/>
        </a:xfrm>
        <a:prstGeom prst="rect">
          <a:avLst/>
        </a:prstGeom>
        <a:noFill/>
        <a:ln w="9525">
          <a:noFill/>
          <a:miter lim="800000"/>
          <a:headEnd/>
          <a:tailEnd/>
        </a:ln>
      </xdr:spPr>
    </xdr:pic>
    <xdr:clientData/>
  </xdr:twoCellAnchor>
  <xdr:twoCellAnchor editAs="absolute">
    <xdr:from>
      <xdr:col>6</xdr:col>
      <xdr:colOff>333375</xdr:colOff>
      <xdr:row>7</xdr:row>
      <xdr:rowOff>19050</xdr:rowOff>
    </xdr:from>
    <xdr:to>
      <xdr:col>6</xdr:col>
      <xdr:colOff>600075</xdr:colOff>
      <xdr:row>7</xdr:row>
      <xdr:rowOff>171450</xdr:rowOff>
    </xdr:to>
    <xdr:pic>
      <xdr:nvPicPr>
        <xdr:cNvPr id="3074"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4867275" y="2381250"/>
          <a:ext cx="266700" cy="152400"/>
        </a:xfrm>
        <a:prstGeom prst="rect">
          <a:avLst/>
        </a:prstGeom>
        <a:noFill/>
        <a:ln w="9525">
          <a:noFill/>
          <a:miter lim="800000"/>
          <a:headEnd/>
          <a:tailEnd/>
        </a:ln>
      </xdr:spPr>
    </xdr:pic>
    <xdr:clientData/>
  </xdr:twoCellAnchor>
  <xdr:twoCellAnchor editAs="absolute">
    <xdr:from>
      <xdr:col>7</xdr:col>
      <xdr:colOff>409575</xdr:colOff>
      <xdr:row>7</xdr:row>
      <xdr:rowOff>19050</xdr:rowOff>
    </xdr:from>
    <xdr:to>
      <xdr:col>7</xdr:col>
      <xdr:colOff>695325</xdr:colOff>
      <xdr:row>7</xdr:row>
      <xdr:rowOff>171450</xdr:rowOff>
    </xdr:to>
    <xdr:pic>
      <xdr:nvPicPr>
        <xdr:cNvPr id="3075"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5934075" y="2381250"/>
          <a:ext cx="285750" cy="152400"/>
        </a:xfrm>
        <a:prstGeom prst="rect">
          <a:avLst/>
        </a:prstGeom>
        <a:noFill/>
        <a:ln w="9525">
          <a:noFill/>
          <a:miter lim="800000"/>
          <a:headEnd/>
          <a:tailEnd/>
        </a:ln>
      </xdr:spPr>
    </xdr:pic>
    <xdr:clientData/>
  </xdr:twoCellAnchor>
  <xdr:twoCellAnchor editAs="absolute">
    <xdr:from>
      <xdr:col>8</xdr:col>
      <xdr:colOff>476250</xdr:colOff>
      <xdr:row>7</xdr:row>
      <xdr:rowOff>19050</xdr:rowOff>
    </xdr:from>
    <xdr:to>
      <xdr:col>8</xdr:col>
      <xdr:colOff>733425</xdr:colOff>
      <xdr:row>7</xdr:row>
      <xdr:rowOff>171450</xdr:rowOff>
    </xdr:to>
    <xdr:pic>
      <xdr:nvPicPr>
        <xdr:cNvPr id="3076" name="Picture 4"/>
        <xdr:cNvPicPr>
          <a:picLocks noChangeAspect="1" noChangeArrowheads="1"/>
        </xdr:cNvPicPr>
      </xdr:nvPicPr>
      <xdr:blipFill>
        <a:blip xmlns:r="http://schemas.openxmlformats.org/officeDocument/2006/relationships" r:embed="rId4" cstate="print"/>
        <a:srcRect/>
        <a:stretch>
          <a:fillRect/>
        </a:stretch>
      </xdr:blipFill>
      <xdr:spPr bwMode="auto">
        <a:xfrm>
          <a:off x="6886575" y="2381250"/>
          <a:ext cx="257175" cy="152400"/>
        </a:xfrm>
        <a:prstGeom prst="rect">
          <a:avLst/>
        </a:prstGeom>
        <a:noFill/>
        <a:ln w="9525">
          <a:noFill/>
          <a:miter lim="800000"/>
          <a:headEnd/>
          <a:tailEnd/>
        </a:ln>
      </xdr:spPr>
    </xdr:pic>
    <xdr:clientData/>
  </xdr:twoCellAnchor>
  <xdr:twoCellAnchor editAs="absolute">
    <xdr:from>
      <xdr:col>9</xdr:col>
      <xdr:colOff>542925</xdr:colOff>
      <xdr:row>7</xdr:row>
      <xdr:rowOff>19050</xdr:rowOff>
    </xdr:from>
    <xdr:to>
      <xdr:col>9</xdr:col>
      <xdr:colOff>704850</xdr:colOff>
      <xdr:row>7</xdr:row>
      <xdr:rowOff>171450</xdr:rowOff>
    </xdr:to>
    <xdr:pic>
      <xdr:nvPicPr>
        <xdr:cNvPr id="3077" name="Picture 5"/>
        <xdr:cNvPicPr>
          <a:picLocks noChangeAspect="1" noChangeArrowheads="1"/>
        </xdr:cNvPicPr>
      </xdr:nvPicPr>
      <xdr:blipFill>
        <a:blip xmlns:r="http://schemas.openxmlformats.org/officeDocument/2006/relationships" r:embed="rId5" cstate="print"/>
        <a:srcRect/>
        <a:stretch>
          <a:fillRect/>
        </a:stretch>
      </xdr:blipFill>
      <xdr:spPr bwMode="auto">
        <a:xfrm>
          <a:off x="7858125" y="2381250"/>
          <a:ext cx="161925" cy="1524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1055;&#1050;\Desktop\&#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ERVER2\users2\1&#1051;&#1077;&#1082;&#1086;&#1084;&#1094;&#1077;&#1074;&#1072;%20&#1071;.&#1042;\&#1055;&#1088;&#1086;&#1075;&#1088;&#1072;&#1084;&#1084;&#1072;%20&#1056;&#1072;&#1079;&#1074;&#1080;&#1090;&#1080;&#1077;%20&#1086;&#1073;&#1088;&#1072;&#1079;&#1086;&#1074;&#1085;&#1080;&#1103;%20&#1080;%20&#1074;&#1086;&#1089;&#1087;&#1080;&#1090;&#1072;&#1085;&#1080;&#1077;%20&#1085;&#1072;%202015-2020%20&#1075;&#1086;&#1076;&#1099;%20&#1056;&#1045;&#1044;&#1040;&#1050;&#1058;&#1048;&#1056;&#1054;&#1042;&#1040;&#1053;&#1048;&#1045;\&#1055;&#1088;&#1086;&#1075;&#1088;&#1072;&#1084;&#1084;&#1072;%202023\&#1055;&#1088;&#1080;&#1083;&#1086;&#1078;&#1077;&#1085;&#1080;&#1103;_&#1082;_&#1055;&#1088;&#1086;&#1075;&#1088;&#1072;&#1084;&#1084;&#1077;_&#1088;&#1072;&#1079;&#1074;&#1080;&#1090;&#1080;&#1103;_&#1092;&#1072;&#1082;&#1090;%202022&#1075;&#1086;&#1076;%20&#1087;&#1083;&#1072;&#1085;%202023-2025%20&#1089;&#1086;&#1089;&#1090;&#1086;&#1103;&#1085;&#1080;&#1077;%20&#1085;&#1072;%2001%2001%2020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SERVER2\users2\1&#1051;&#1077;&#1082;&#1086;&#1084;&#1094;&#1077;&#1074;&#1072;%20&#1071;.&#1042;\&#1055;&#1088;&#1086;&#1075;&#1088;&#1072;&#1084;&#1084;&#1072;%20&#1056;&#1072;&#1079;&#1074;&#1080;&#1090;&#1080;&#1077;%20&#1086;&#1073;&#1088;&#1072;&#1079;&#1086;&#1074;&#1085;&#1080;&#1103;%20&#1080;%20&#1074;&#1086;&#1089;&#1087;&#1080;&#1090;&#1072;&#1085;&#1080;&#1077;%20&#1085;&#1072;%202015-2020%20&#1075;&#1086;&#1076;&#1099;%20&#1056;&#1045;&#1044;&#1040;&#1050;&#1058;&#1048;&#1056;&#1054;&#1042;&#1040;&#1053;&#1048;&#1045;\&#1055;&#1088;&#1086;&#1075;&#1088;&#1072;&#1084;&#1084;&#1072;%20&#1088;&#1072;&#1079;&#1074;&#1080;&#1090;&#1080;&#1103;%20&#1089;%202026%20&#1075;&#1086;&#1076;&#1086;&#1084;\&#1055;&#1088;&#1080;&#1083;&#1086;&#1078;&#1077;&#1085;&#1080;&#1103;_&#1082;_&#1055;&#1088;&#1086;&#1075;&#1088;&#1072;&#1084;&#1084;&#1077;_&#1088;&#1072;&#1079;&#1074;&#1080;&#1090;&#1080;&#1103;_2022-2026&#1075;&#1086;&#1076;&#1072;_&#1080;&#1102;&#1083;&#1100;%20%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1&#1051;&#1077;&#1082;&#1086;&#1084;&#1094;&#1077;&#1074;&#1072;%20&#1071;.&#1042;\&#1055;&#1088;&#1086;&#1075;&#1088;&#1072;&#1084;&#1084;&#1072;%20&#1056;&#1072;&#1079;&#1074;&#1080;&#1090;&#1080;&#1077;%20&#1086;&#1073;&#1088;&#1072;&#1079;&#1086;&#1074;&#1085;&#1080;&#1103;%20&#1080;%20&#1074;&#1086;&#1089;&#1087;&#1080;&#1090;&#1072;&#1085;&#1080;&#1077;%20&#1085;&#1072;%202015-2020%20&#1075;&#1086;&#1076;&#1099;%20&#1056;&#1045;&#1044;&#1040;&#1050;&#1058;&#1048;&#1056;&#1054;&#1042;&#1040;&#1053;&#1048;&#1045;\&#1055;&#1088;&#1086;&#1075;&#1088;&#1072;&#1084;&#1084;&#1072;%202021\2022\&#1050;&#1086;&#1087;&#1080;&#1103;%20&#1055;&#1088;&#1080;&#1083;&#1086;&#1078;&#1077;&#1085;&#1080;&#1103;%20&#1082;%20&#1055;&#1088;&#1086;&#1075;&#1088;&#1072;&#1084;&#1084;&#1077;%20&#1056;&#1072;&#1079;&#1074;&#1080;&#1090;&#1080;&#1077;%20&#1086;&#1073;&#1088;&#1072;&#1079;&#1086;&#1074;&#1072;&#1085;&#1080;&#1103;%20&#1080;%20&#1074;&#1086;&#1089;&#1087;&#1080;&#1090;&#1072;&#1085;&#1080;&#1077;%20&#1085;&#1072;%202015-2024%20&#1075;&#1086;&#1076;&#1099;%2028.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2\1&#1051;&#1077;&#1082;&#1086;&#1084;&#1094;&#1077;&#1074;&#1072;%20&#1071;.&#1042;\&#1055;&#1088;&#1086;&#1075;&#1088;&#1072;&#1084;&#1084;&#1072;%20&#1056;&#1072;&#1079;&#1074;&#1080;&#1090;&#1080;&#1077;%20&#1086;&#1073;&#1088;&#1072;&#1079;&#1086;&#1074;&#1085;&#1080;&#1103;%20&#1080;%20&#1074;&#1086;&#1089;&#1087;&#1080;&#1090;&#1072;&#1085;&#1080;&#1077;%20&#1085;&#1072;%202015-2020%20&#1075;&#1086;&#1076;&#1099;%20&#1056;&#1045;&#1044;&#1040;&#1050;&#1058;&#1048;&#1056;&#1054;&#1042;&#1040;&#1053;&#1048;&#1045;\&#1055;&#1088;&#1086;&#1075;&#1088;&#1072;&#1084;&#1084;&#1072;%202021\2022\&#1055;&#1088;&#1080;&#1083;&#1086;&#1078;&#1077;&#1085;&#1080;&#1103;%20&#1082;%20&#1055;&#1088;&#1086;&#1075;&#1088;&#1072;&#1084;&#1084;&#1077;%20&#1056;&#1072;&#1079;&#1074;&#1080;&#1090;&#1080;&#1077;%20&#1086;&#1073;&#1088;&#1072;&#1079;&#1086;&#1074;&#1072;&#1085;&#1080;&#1103;%20&#1080;%20&#1074;&#1086;&#1089;&#1087;&#1080;&#1090;&#1072;&#1085;&#1080;&#1077;%20&#1085;&#1072;%202015-2020%20&#1075;&#1086;&#1076;&#1099;%20&#1085;&#1072;%2016.10.19&#107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1&#1051;&#1077;&#1082;&#1086;&#1084;&#1094;&#1077;&#1074;&#1072;%20&#1071;.&#1042;\&#1055;&#1088;&#1086;&#1075;&#1088;&#1072;&#1084;&#1084;&#1072;%20&#1056;&#1072;&#1079;&#1074;&#1080;&#1090;&#1080;&#1077;%20&#1086;&#1073;&#1088;&#1072;&#1079;&#1086;&#1074;&#1085;&#1080;&#1103;%20&#1080;%20&#1074;&#1086;&#1089;&#1087;&#1080;&#1090;&#1072;&#1085;&#1080;&#1077;%20&#1085;&#1072;%202015-2020%20&#1075;&#1086;&#1076;&#1099;%20&#1056;&#1045;&#1044;&#1040;&#1050;&#1058;&#1048;&#1056;&#1054;&#1042;&#1040;&#1053;&#1048;&#1045;\&#1055;&#1088;&#1086;&#1075;&#1088;&#1072;&#1084;&#1084;&#1072;%202021\2022\&#1064;&#1084;&#1099;&#1088;&#1080;&#1085;&#1072;&#1070;&#1042;_&#1055;&#1088;&#1080;&#1083;&#1086;&#1078;&#1077;&#1085;&#1080;&#1103;%20&#1082;%20&#1055;&#1088;&#1086;&#1075;&#1088;&#1072;&#1084;&#1084;&#1077;%20&#1056;&#1072;&#1079;&#1074;&#1080;&#1090;&#1080;&#1077;%20&#1086;&#1073;&#1088;&#1072;&#1079;&#1086;&#1074;&#1072;&#1085;&#1080;&#1103;%20&#1080;%20&#1074;&#1086;&#1089;&#1087;&#1080;&#1090;&#1072;&#1085;&#1080;&#1077;%20&#1085;&#1072;%202015-2020%20&#1075;&#1086;&#1076;&#1099;%20&#1085;&#1072;%2021.10"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SERVER2\users2\1&#1051;&#1077;&#1082;&#1086;&#1084;&#1094;&#1077;&#1074;&#1072;%20&#1071;.&#1042;\&#1055;&#1088;&#1086;&#1075;&#1088;&#1072;&#1084;&#1084;&#1072;%20&#1056;&#1072;&#1079;&#1074;&#1080;&#1090;&#1080;&#1077;%20&#1086;&#1073;&#1088;&#1072;&#1079;&#1086;&#1074;&#1085;&#1080;&#1103;%20&#1080;%20&#1074;&#1086;&#1089;&#1087;&#1080;&#1090;&#1072;&#1085;&#1080;&#1077;%20&#1085;&#1072;%202015-2020%20&#1075;&#1086;&#1076;&#1099;%20&#1056;&#1045;&#1044;&#1040;&#1050;&#1058;&#1048;&#1056;&#1054;&#1042;&#1040;&#1053;&#1048;&#1045;\&#1055;&#1088;&#1086;&#1075;&#1088;&#1072;&#1084;&#1084;&#1072;%202021\2022\&#1055;&#1088;&#1080;&#1083;&#1086;&#1078;&#1077;&#1085;&#1080;&#1103;%20&#1082;%20&#1055;&#1088;&#1086;&#1075;&#1088;&#1072;&#1084;&#1084;&#1077;%20&#1088;&#1072;&#1079;&#1074;&#1080;&#1090;&#1080;&#1103;%202022&#1075;&#1086;&#1076;&#1072;%20&#1054;&#1050;&#1056;&#1059;&#1043;(&#1085;&#1086;&#1103;&#1073;&#1088;&#110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 val="2 "/>
      <sheetName val="3"/>
      <sheetName val="4 "/>
      <sheetName val="5 "/>
      <sheetName val="6 "/>
      <sheetName val="7"/>
      <sheetName val="Лист1"/>
      <sheetName val="8"/>
    </sheetNames>
    <sheetDataSet>
      <sheetData sheetId="0"/>
      <sheetData sheetId="1"/>
      <sheetData sheetId="2"/>
      <sheetData sheetId="3"/>
      <sheetData sheetId="4">
        <row r="27">
          <cell r="T27">
            <v>110103.2</v>
          </cell>
          <cell r="U27">
            <v>123015.1</v>
          </cell>
          <cell r="W27">
            <v>115537.2</v>
          </cell>
          <cell r="X27">
            <v>115720</v>
          </cell>
          <cell r="Y27">
            <v>121853.15999999999</v>
          </cell>
          <cell r="Z27">
            <v>128311.37747999998</v>
          </cell>
        </row>
        <row r="28">
          <cell r="Q28">
            <v>76033.259999999995</v>
          </cell>
          <cell r="R28">
            <v>78156.800000000003</v>
          </cell>
          <cell r="S28">
            <v>85932.9</v>
          </cell>
        </row>
        <row r="29">
          <cell r="T29">
            <v>89553.4</v>
          </cell>
          <cell r="U29">
            <v>106543.7</v>
          </cell>
          <cell r="V29">
            <v>117400.5</v>
          </cell>
          <cell r="W29">
            <v>101625.9</v>
          </cell>
          <cell r="X29">
            <v>101808.7</v>
          </cell>
          <cell r="Y29">
            <v>107204.56109999999</v>
          </cell>
          <cell r="Z29">
            <v>112886.40283829998</v>
          </cell>
        </row>
        <row r="30">
          <cell r="R30">
            <v>12955.298919999999</v>
          </cell>
          <cell r="S30">
            <v>16088</v>
          </cell>
        </row>
        <row r="31">
          <cell r="T31">
            <v>15497.2</v>
          </cell>
          <cell r="U31">
            <v>16471.400000000001</v>
          </cell>
          <cell r="V31">
            <v>15308.9</v>
          </cell>
          <cell r="W31">
            <v>13911.3</v>
          </cell>
          <cell r="X31">
            <v>13911.3</v>
          </cell>
          <cell r="Y31">
            <v>14648.598899999999</v>
          </cell>
          <cell r="Z31">
            <v>15424.974641699999</v>
          </cell>
        </row>
        <row r="32">
          <cell r="T32">
            <v>60</v>
          </cell>
        </row>
        <row r="37">
          <cell r="T37">
            <v>4992.6000000000004</v>
          </cell>
        </row>
        <row r="39">
          <cell r="S39">
            <v>56386</v>
          </cell>
        </row>
        <row r="42">
          <cell r="R42">
            <v>1313.171</v>
          </cell>
          <cell r="S42">
            <v>1280.7</v>
          </cell>
          <cell r="U42">
            <v>405.2</v>
          </cell>
        </row>
        <row r="47">
          <cell r="Y47">
            <v>0</v>
          </cell>
          <cell r="Z47">
            <v>0</v>
          </cell>
        </row>
        <row r="66">
          <cell r="R66">
            <v>219203.1</v>
          </cell>
          <cell r="S66">
            <v>239548.9</v>
          </cell>
        </row>
        <row r="67">
          <cell r="T67">
            <v>253282.2</v>
          </cell>
          <cell r="V67">
            <v>306136.40000000002</v>
          </cell>
          <cell r="W67">
            <v>277766.90000000002</v>
          </cell>
          <cell r="X67">
            <v>277107.90000000002</v>
          </cell>
          <cell r="Y67">
            <v>291794.61869999999</v>
          </cell>
          <cell r="Z67">
            <v>307259.73349109996</v>
          </cell>
        </row>
        <row r="69">
          <cell r="T69">
            <v>17416.5</v>
          </cell>
          <cell r="U69">
            <v>17215.599999999999</v>
          </cell>
          <cell r="V69">
            <v>0</v>
          </cell>
        </row>
        <row r="70">
          <cell r="R70">
            <v>25907.659</v>
          </cell>
          <cell r="S70">
            <v>33149</v>
          </cell>
        </row>
        <row r="71">
          <cell r="T71">
            <v>37467.800000000003</v>
          </cell>
          <cell r="W71">
            <v>37805.699999999997</v>
          </cell>
          <cell r="X71">
            <v>37805.699999999997</v>
          </cell>
          <cell r="Y71">
            <v>39809.402099999992</v>
          </cell>
          <cell r="Z71">
            <v>41919.300411299992</v>
          </cell>
        </row>
        <row r="75">
          <cell r="R75">
            <v>346.9</v>
          </cell>
          <cell r="S75">
            <v>608.1</v>
          </cell>
        </row>
        <row r="76">
          <cell r="T76">
            <v>771.7</v>
          </cell>
          <cell r="U76">
            <v>776.9</v>
          </cell>
          <cell r="V76">
            <v>983.7</v>
          </cell>
        </row>
        <row r="84">
          <cell r="R84">
            <v>1971.145</v>
          </cell>
          <cell r="S84">
            <v>3112.7</v>
          </cell>
        </row>
        <row r="85">
          <cell r="T85">
            <v>548.79999999999995</v>
          </cell>
          <cell r="W85">
            <v>0</v>
          </cell>
          <cell r="X85">
            <v>0</v>
          </cell>
          <cell r="Y85">
            <v>0</v>
          </cell>
          <cell r="Z85">
            <v>0</v>
          </cell>
        </row>
        <row r="86">
          <cell r="T86">
            <v>160</v>
          </cell>
        </row>
        <row r="87">
          <cell r="T87">
            <v>695.1</v>
          </cell>
        </row>
        <row r="90">
          <cell r="T90">
            <v>475</v>
          </cell>
        </row>
        <row r="91">
          <cell r="T91">
            <v>6.3</v>
          </cell>
        </row>
        <row r="97">
          <cell r="V97">
            <v>701.8</v>
          </cell>
          <cell r="W97">
            <v>9</v>
          </cell>
          <cell r="X97">
            <v>9</v>
          </cell>
          <cell r="Y97">
            <v>9</v>
          </cell>
          <cell r="Z97">
            <v>9</v>
          </cell>
        </row>
        <row r="102">
          <cell r="U102">
            <v>1589.9</v>
          </cell>
          <cell r="V102">
            <v>755.4</v>
          </cell>
        </row>
        <row r="103">
          <cell r="R103">
            <v>501.03899999999999</v>
          </cell>
          <cell r="S103">
            <v>1234.9000000000001</v>
          </cell>
        </row>
        <row r="105">
          <cell r="T105">
            <v>2000</v>
          </cell>
          <cell r="W105">
            <v>0</v>
          </cell>
          <cell r="X105">
            <v>0</v>
          </cell>
          <cell r="Y105">
            <v>0</v>
          </cell>
          <cell r="Z105">
            <v>0</v>
          </cell>
        </row>
        <row r="111">
          <cell r="R111">
            <v>2914.752</v>
          </cell>
        </row>
        <row r="112">
          <cell r="T112">
            <v>641.6</v>
          </cell>
          <cell r="U112">
            <v>2131.3000000000002</v>
          </cell>
          <cell r="V112">
            <v>1759.5</v>
          </cell>
          <cell r="W112">
            <v>1121.0999999999999</v>
          </cell>
          <cell r="X112">
            <v>423.7</v>
          </cell>
          <cell r="Y112">
            <v>446.15609999999998</v>
          </cell>
          <cell r="Z112">
            <v>469.80237329999994</v>
          </cell>
        </row>
        <row r="114">
          <cell r="W114">
            <v>7.8</v>
          </cell>
          <cell r="X114">
            <v>7.8</v>
          </cell>
          <cell r="Y114">
            <v>8.2134</v>
          </cell>
          <cell r="Z114">
            <v>8.6487102</v>
          </cell>
        </row>
        <row r="115">
          <cell r="R115">
            <v>1817.08</v>
          </cell>
          <cell r="S115">
            <v>9475.4</v>
          </cell>
        </row>
        <row r="116">
          <cell r="T116">
            <v>10139.9</v>
          </cell>
          <cell r="U116">
            <v>10415.5</v>
          </cell>
          <cell r="V116">
            <v>9930.2000000000007</v>
          </cell>
          <cell r="W116">
            <v>9514.2000000000007</v>
          </cell>
          <cell r="X116">
            <v>8424.9</v>
          </cell>
          <cell r="Y116">
            <v>8871.4196999999986</v>
          </cell>
          <cell r="Z116">
            <v>9341.6049440999977</v>
          </cell>
        </row>
        <row r="128">
          <cell r="R128">
            <v>898.74</v>
          </cell>
          <cell r="S128">
            <v>1402.8</v>
          </cell>
        </row>
        <row r="129">
          <cell r="T129">
            <v>2042.4</v>
          </cell>
          <cell r="W129">
            <v>1785</v>
          </cell>
          <cell r="X129">
            <v>1785</v>
          </cell>
          <cell r="Y129">
            <v>1879.6049999999998</v>
          </cell>
          <cell r="Z129">
            <v>1979.2240649999997</v>
          </cell>
        </row>
        <row r="132">
          <cell r="R132">
            <v>201.755</v>
          </cell>
          <cell r="S132">
            <v>225.3</v>
          </cell>
        </row>
        <row r="133">
          <cell r="T133">
            <v>264.10000000000002</v>
          </cell>
          <cell r="W133">
            <v>283</v>
          </cell>
          <cell r="X133">
            <v>283</v>
          </cell>
          <cell r="Y133">
            <v>297.99899999999997</v>
          </cell>
          <cell r="Z133">
            <v>313.79294699999997</v>
          </cell>
        </row>
        <row r="134">
          <cell r="R134">
            <v>506.49400000000003</v>
          </cell>
          <cell r="S134">
            <v>622.4</v>
          </cell>
        </row>
        <row r="135">
          <cell r="T135">
            <v>771.9</v>
          </cell>
          <cell r="W135">
            <v>856</v>
          </cell>
          <cell r="X135">
            <v>856</v>
          </cell>
          <cell r="Y135">
            <v>901.36799999999994</v>
          </cell>
          <cell r="Z135">
            <v>949.14050399999985</v>
          </cell>
        </row>
        <row r="136">
          <cell r="R136">
            <v>20.555</v>
          </cell>
          <cell r="S136">
            <v>18.2</v>
          </cell>
        </row>
        <row r="137">
          <cell r="T137">
            <v>6.4</v>
          </cell>
          <cell r="W137">
            <v>31</v>
          </cell>
          <cell r="X137">
            <v>31</v>
          </cell>
          <cell r="Y137">
            <v>32.643000000000001</v>
          </cell>
          <cell r="Z137">
            <v>34.373078999999997</v>
          </cell>
        </row>
        <row r="147">
          <cell r="W147">
            <v>4.2</v>
          </cell>
          <cell r="X147">
            <v>4.2</v>
          </cell>
          <cell r="Y147">
            <v>4.2</v>
          </cell>
          <cell r="Z147">
            <v>4.2</v>
          </cell>
        </row>
        <row r="154">
          <cell r="U154">
            <v>34144.800000000003</v>
          </cell>
        </row>
        <row r="155">
          <cell r="U155">
            <v>9096.7999999999993</v>
          </cell>
        </row>
        <row r="164">
          <cell r="V164">
            <v>2104</v>
          </cell>
        </row>
        <row r="171">
          <cell r="R171">
            <v>26985.304999999997</v>
          </cell>
          <cell r="S171">
            <v>27120.6</v>
          </cell>
          <cell r="T171">
            <v>28486.000000000004</v>
          </cell>
          <cell r="U171">
            <v>34582.6</v>
          </cell>
        </row>
        <row r="177">
          <cell r="Q177">
            <v>18584.502</v>
          </cell>
          <cell r="R177">
            <v>18547.231</v>
          </cell>
          <cell r="S177">
            <v>19325.599999999999</v>
          </cell>
        </row>
        <row r="178">
          <cell r="T178">
            <v>19496.2</v>
          </cell>
          <cell r="U178">
            <v>24911.7</v>
          </cell>
          <cell r="V178">
            <v>24911.7</v>
          </cell>
          <cell r="W178">
            <v>23515.5</v>
          </cell>
          <cell r="X178">
            <v>24781.4</v>
          </cell>
          <cell r="Y178">
            <v>26094.814200000001</v>
          </cell>
          <cell r="Z178">
            <v>27477.8393526</v>
          </cell>
        </row>
        <row r="179">
          <cell r="Q179">
            <v>6068.92</v>
          </cell>
          <cell r="R179">
            <v>6512.3</v>
          </cell>
          <cell r="S179">
            <v>5944.6</v>
          </cell>
        </row>
        <row r="180">
          <cell r="T180">
            <v>6393.6</v>
          </cell>
          <cell r="U180">
            <v>7177.2</v>
          </cell>
          <cell r="V180">
            <v>7177.2</v>
          </cell>
        </row>
        <row r="191">
          <cell r="Q191">
            <v>825.45</v>
          </cell>
          <cell r="R191">
            <v>148.86600000000001</v>
          </cell>
          <cell r="U191">
            <v>0</v>
          </cell>
        </row>
        <row r="205">
          <cell r="V205">
            <v>3008.7</v>
          </cell>
          <cell r="W205">
            <v>3008.7</v>
          </cell>
          <cell r="X205">
            <v>3008.7</v>
          </cell>
          <cell r="Y205">
            <v>3008.7</v>
          </cell>
          <cell r="Z205">
            <v>3008.7</v>
          </cell>
        </row>
        <row r="209">
          <cell r="R209">
            <v>84.300000000000011</v>
          </cell>
          <cell r="S209">
            <v>52.1</v>
          </cell>
        </row>
        <row r="210">
          <cell r="R210">
            <v>954</v>
          </cell>
        </row>
        <row r="211">
          <cell r="T211">
            <v>1039.6999999999998</v>
          </cell>
        </row>
        <row r="212">
          <cell r="R212">
            <v>1008.1</v>
          </cell>
          <cell r="S212">
            <v>1637.5</v>
          </cell>
        </row>
        <row r="214">
          <cell r="W214">
            <v>0</v>
          </cell>
          <cell r="X214">
            <v>0</v>
          </cell>
          <cell r="Y214">
            <v>0</v>
          </cell>
          <cell r="Z214">
            <v>0</v>
          </cell>
        </row>
        <row r="238">
          <cell r="T238">
            <v>2787.7999999999997</v>
          </cell>
        </row>
        <row r="239">
          <cell r="T239">
            <v>237.1</v>
          </cell>
        </row>
        <row r="240">
          <cell r="R240">
            <v>2332.2429999999999</v>
          </cell>
          <cell r="S240">
            <v>2841.1</v>
          </cell>
          <cell r="U240">
            <v>493.6</v>
          </cell>
        </row>
        <row r="242">
          <cell r="U242">
            <v>1965.6</v>
          </cell>
          <cell r="V242">
            <v>1995.1</v>
          </cell>
        </row>
        <row r="243">
          <cell r="U243">
            <v>132.30000000000001</v>
          </cell>
        </row>
        <row r="244">
          <cell r="R244">
            <v>3946.7779999999998</v>
          </cell>
          <cell r="S244">
            <v>395</v>
          </cell>
        </row>
        <row r="247">
          <cell r="R247">
            <v>39.500999999999998</v>
          </cell>
          <cell r="S247">
            <v>44.076000000000001</v>
          </cell>
          <cell r="U247">
            <v>10</v>
          </cell>
        </row>
        <row r="248">
          <cell r="T248">
            <v>42.8</v>
          </cell>
        </row>
        <row r="249">
          <cell r="U249">
            <v>91.9</v>
          </cell>
          <cell r="V249">
            <v>91.9</v>
          </cell>
          <cell r="W249">
            <v>91.9</v>
          </cell>
          <cell r="X249">
            <v>91.9</v>
          </cell>
          <cell r="Y249">
            <v>96.770700000000005</v>
          </cell>
          <cell r="Z249">
            <v>101.89954709999999</v>
          </cell>
        </row>
        <row r="250">
          <cell r="T250">
            <v>9</v>
          </cell>
          <cell r="U250">
            <v>5</v>
          </cell>
        </row>
        <row r="254">
          <cell r="R254">
            <v>102.69</v>
          </cell>
          <cell r="S254">
            <v>118.1</v>
          </cell>
        </row>
        <row r="255">
          <cell r="T255">
            <v>90.7</v>
          </cell>
        </row>
        <row r="256">
          <cell r="U256">
            <v>40.299999999999997</v>
          </cell>
          <cell r="V256">
            <v>43</v>
          </cell>
          <cell r="W256">
            <v>43</v>
          </cell>
          <cell r="X256">
            <v>43</v>
          </cell>
          <cell r="Y256">
            <v>45.278999999999996</v>
          </cell>
          <cell r="Z256">
            <v>47.678786999999993</v>
          </cell>
        </row>
        <row r="257">
          <cell r="R257">
            <v>3</v>
          </cell>
        </row>
        <row r="266">
          <cell r="S266">
            <v>409.7</v>
          </cell>
        </row>
        <row r="267">
          <cell r="T267">
            <v>439.7</v>
          </cell>
          <cell r="U267">
            <v>448.6</v>
          </cell>
          <cell r="V267">
            <v>677.80000000000007</v>
          </cell>
          <cell r="W267">
            <v>436.9</v>
          </cell>
          <cell r="X267">
            <v>436.9</v>
          </cell>
          <cell r="Y267">
            <v>460.05569999999994</v>
          </cell>
          <cell r="Z267">
            <v>484.4386520999999</v>
          </cell>
        </row>
        <row r="271">
          <cell r="Q271">
            <v>8447.3019999999997</v>
          </cell>
          <cell r="R271">
            <v>0</v>
          </cell>
          <cell r="S271">
            <v>0</v>
          </cell>
        </row>
        <row r="277">
          <cell r="R277">
            <v>188.1</v>
          </cell>
          <cell r="S277">
            <v>138.69999999999999</v>
          </cell>
        </row>
        <row r="278">
          <cell r="T278">
            <v>20.5</v>
          </cell>
        </row>
        <row r="294">
          <cell r="U294">
            <v>1795.1</v>
          </cell>
          <cell r="V294">
            <v>2556.4</v>
          </cell>
        </row>
        <row r="304">
          <cell r="U304">
            <v>9880</v>
          </cell>
          <cell r="V304">
            <v>11024.1</v>
          </cell>
        </row>
        <row r="320">
          <cell r="S320">
            <v>1786.8</v>
          </cell>
        </row>
        <row r="321">
          <cell r="T321">
            <v>1535.4</v>
          </cell>
          <cell r="U321">
            <v>1155.0999999999999</v>
          </cell>
        </row>
        <row r="324">
          <cell r="S324">
            <v>987.7</v>
          </cell>
        </row>
        <row r="325">
          <cell r="T325">
            <v>848.8</v>
          </cell>
          <cell r="U325">
            <v>500.8</v>
          </cell>
          <cell r="V325">
            <v>215.2</v>
          </cell>
          <cell r="W325">
            <v>140.4</v>
          </cell>
          <cell r="X325">
            <v>60.2</v>
          </cell>
          <cell r="Y325">
            <v>63.390599999999999</v>
          </cell>
          <cell r="Z325">
            <v>66.750301799999988</v>
          </cell>
        </row>
        <row r="328">
          <cell r="R328">
            <v>854.404</v>
          </cell>
          <cell r="S328">
            <v>830.7</v>
          </cell>
        </row>
        <row r="329">
          <cell r="T329">
            <v>712.5</v>
          </cell>
          <cell r="U329">
            <v>780.7</v>
          </cell>
          <cell r="V329">
            <v>408.7</v>
          </cell>
          <cell r="W329">
            <v>614.1</v>
          </cell>
          <cell r="X329">
            <v>263.2</v>
          </cell>
          <cell r="Y329">
            <v>722.7</v>
          </cell>
          <cell r="Z329">
            <v>722.7</v>
          </cell>
        </row>
        <row r="330">
          <cell r="S330">
            <v>33.200000000000003</v>
          </cell>
        </row>
        <row r="331">
          <cell r="T331">
            <v>23.8</v>
          </cell>
          <cell r="U331">
            <v>25.8</v>
          </cell>
          <cell r="V331">
            <v>36.700000000000003</v>
          </cell>
          <cell r="W331">
            <v>25.8</v>
          </cell>
          <cell r="X331">
            <v>11.1</v>
          </cell>
          <cell r="Y331">
            <v>11.688299999999998</v>
          </cell>
          <cell r="Z331">
            <v>12.307779899999998</v>
          </cell>
        </row>
        <row r="334">
          <cell r="S334">
            <v>155.80000000000001</v>
          </cell>
        </row>
        <row r="335">
          <cell r="T335">
            <v>115.6</v>
          </cell>
          <cell r="U335">
            <v>183</v>
          </cell>
          <cell r="V335">
            <v>220.6</v>
          </cell>
          <cell r="W335">
            <v>154.4</v>
          </cell>
          <cell r="X335">
            <v>66.2</v>
          </cell>
          <cell r="Y335">
            <v>69.708600000000004</v>
          </cell>
          <cell r="Z335">
            <v>73.403155799999993</v>
          </cell>
        </row>
      </sheetData>
      <sheetData sheetId="5"/>
      <sheetData sheetId="6"/>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5"/>
      <sheetName val="6  "/>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5 (2)"/>
      <sheetName val="6   (2)"/>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5 "/>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5 "/>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5 "/>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5 "/>
    </sheetNames>
    <sheetDataSet>
      <sheetData sheetId="0" refreshError="1"/>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tint val="100000"/>
                <a:shade val="100000"/>
                <a:satMod val="130000"/>
              </a:schemeClr>
            </a:gs>
            <a:gs pos="100000">
              <a:schemeClr val="phClr">
                <a:tint val="50000"/>
                <a:shade val="100000"/>
                <a:satMod val="350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S100"/>
  <sheetViews>
    <sheetView view="pageBreakPreview" zoomScaleNormal="100" workbookViewId="0">
      <selection activeCell="W11" sqref="W11"/>
    </sheetView>
  </sheetViews>
  <sheetFormatPr defaultColWidth="9.140625" defaultRowHeight="15"/>
  <cols>
    <col min="1" max="1" width="3.7109375" bestFit="1" customWidth="1"/>
    <col min="2" max="2" width="3" bestFit="1" customWidth="1"/>
    <col min="3" max="3" width="3" customWidth="1"/>
    <col min="4" max="4" width="63.7109375" style="1" customWidth="1"/>
    <col min="5" max="5" width="4.5703125" style="2" customWidth="1"/>
    <col min="6" max="8" width="7.140625" style="2" hidden="1" customWidth="1"/>
    <col min="9" max="9" width="6.85546875" style="2" hidden="1" customWidth="1"/>
    <col min="10" max="10" width="7.140625" style="2" hidden="1" customWidth="1"/>
    <col min="11" max="11" width="6.7109375" style="3" hidden="1" customWidth="1"/>
    <col min="12" max="12" width="6.85546875" style="4" hidden="1" customWidth="1"/>
    <col min="13" max="13" width="7.5703125" style="2" customWidth="1"/>
    <col min="14" max="17" width="7.140625" style="5" bestFit="1" customWidth="1"/>
  </cols>
  <sheetData>
    <row r="1" spans="1:19" ht="14.1" customHeight="1">
      <c r="A1" s="6"/>
      <c r="B1" s="7"/>
      <c r="C1" s="7"/>
      <c r="D1" s="7"/>
      <c r="E1" s="8"/>
      <c r="F1" s="8"/>
      <c r="G1" s="8"/>
      <c r="H1" s="8"/>
      <c r="I1" s="8"/>
      <c r="J1" s="8"/>
      <c r="K1" s="478" t="s">
        <v>706</v>
      </c>
      <c r="L1" s="478"/>
      <c r="M1" s="478"/>
      <c r="N1" s="478"/>
      <c r="O1" s="478"/>
      <c r="P1" s="478"/>
      <c r="Q1" s="478"/>
    </row>
    <row r="2" spans="1:19" ht="14.1" customHeight="1">
      <c r="A2" s="6"/>
      <c r="B2" s="7"/>
      <c r="C2" s="7"/>
      <c r="D2" s="7"/>
      <c r="E2" s="8"/>
      <c r="F2" s="8"/>
      <c r="G2" s="8"/>
      <c r="H2" s="8"/>
      <c r="I2" s="8"/>
      <c r="J2" s="8"/>
      <c r="K2" s="477" t="s">
        <v>962</v>
      </c>
      <c r="L2" s="478"/>
      <c r="M2" s="478"/>
      <c r="N2" s="478"/>
      <c r="O2" s="478"/>
      <c r="P2" s="478"/>
      <c r="Q2" s="478"/>
    </row>
    <row r="3" spans="1:19" ht="24.75" customHeight="1">
      <c r="A3" s="6"/>
      <c r="B3" s="7"/>
      <c r="C3" s="7"/>
      <c r="D3" s="7"/>
      <c r="E3" s="8"/>
      <c r="F3" s="8"/>
      <c r="G3" s="8"/>
      <c r="H3" s="8"/>
      <c r="I3" s="8"/>
      <c r="J3" s="8"/>
      <c r="K3" s="479" t="s">
        <v>963</v>
      </c>
      <c r="L3" s="480"/>
      <c r="M3" s="480"/>
      <c r="N3" s="480"/>
      <c r="O3" s="480"/>
      <c r="P3" s="480"/>
      <c r="Q3" s="480"/>
    </row>
    <row r="4" spans="1:19" ht="14.1" customHeight="1">
      <c r="A4" s="6"/>
      <c r="B4" s="7"/>
      <c r="C4" s="7"/>
      <c r="D4" s="7"/>
      <c r="E4" s="8"/>
      <c r="F4" s="8"/>
      <c r="G4" s="8"/>
      <c r="H4" s="8"/>
      <c r="I4" s="8"/>
      <c r="J4" s="8"/>
      <c r="K4" s="473" t="s">
        <v>709</v>
      </c>
      <c r="L4" s="473"/>
      <c r="M4" s="473"/>
      <c r="N4" s="473"/>
      <c r="O4" s="473"/>
      <c r="P4" s="473"/>
      <c r="Q4" s="473"/>
    </row>
    <row r="5" spans="1:19" ht="14.1" customHeight="1">
      <c r="A5" s="6"/>
      <c r="B5" s="7"/>
      <c r="C5" s="7"/>
      <c r="D5" s="7"/>
      <c r="E5" s="8"/>
      <c r="F5" s="8"/>
      <c r="G5" s="8"/>
      <c r="H5" s="8"/>
      <c r="I5" s="8"/>
      <c r="J5" s="8"/>
      <c r="K5" s="8"/>
      <c r="L5" s="8"/>
      <c r="M5" s="477" t="s">
        <v>964</v>
      </c>
      <c r="N5" s="478"/>
      <c r="O5" s="478"/>
      <c r="P5" s="478"/>
      <c r="Q5" s="478"/>
    </row>
    <row r="6" spans="1:19" ht="14.1" customHeight="1">
      <c r="A6" s="6"/>
      <c r="B6" s="7"/>
      <c r="C6" s="7"/>
      <c r="D6" s="7"/>
      <c r="E6" s="8"/>
      <c r="F6" s="8"/>
      <c r="G6" s="8"/>
      <c r="H6" s="8"/>
      <c r="I6" s="8"/>
      <c r="J6" s="8"/>
      <c r="K6" s="8"/>
      <c r="L6" s="8"/>
      <c r="M6" s="8"/>
    </row>
    <row r="7" spans="1:19" ht="14.1" customHeight="1">
      <c r="A7" s="6"/>
      <c r="B7" s="470" t="s">
        <v>710</v>
      </c>
      <c r="C7" s="470"/>
      <c r="D7" s="470"/>
      <c r="E7" s="470"/>
      <c r="F7" s="470"/>
      <c r="G7" s="470"/>
      <c r="H7" s="470"/>
      <c r="I7" s="470"/>
      <c r="J7" s="470"/>
      <c r="K7" s="470"/>
      <c r="L7" s="470"/>
      <c r="M7" s="470"/>
    </row>
    <row r="8" spans="1:19" ht="14.1" customHeight="1">
      <c r="A8" s="6"/>
      <c r="B8" s="10"/>
      <c r="C8" s="10"/>
      <c r="D8" s="10"/>
      <c r="E8" s="10"/>
      <c r="F8" s="10"/>
      <c r="G8" s="10"/>
      <c r="H8" s="10"/>
      <c r="I8" s="10"/>
      <c r="J8" s="10"/>
      <c r="K8" s="10"/>
      <c r="L8" s="10"/>
      <c r="M8" s="10"/>
    </row>
    <row r="9" spans="1:19" ht="15.75" customHeight="1">
      <c r="A9" s="464" t="s">
        <v>711</v>
      </c>
      <c r="B9" s="465"/>
      <c r="C9" s="464" t="s">
        <v>712</v>
      </c>
      <c r="D9" s="474" t="s">
        <v>713</v>
      </c>
      <c r="E9" s="464" t="s">
        <v>714</v>
      </c>
      <c r="F9" s="464" t="s">
        <v>715</v>
      </c>
      <c r="G9" s="481"/>
      <c r="H9" s="481"/>
      <c r="I9" s="481"/>
      <c r="J9" s="481"/>
      <c r="K9" s="481"/>
      <c r="L9" s="481"/>
      <c r="M9" s="481"/>
      <c r="N9" s="481"/>
      <c r="O9" s="481"/>
      <c r="P9" s="481"/>
      <c r="Q9" s="481"/>
      <c r="R9" s="481"/>
      <c r="S9" s="482"/>
    </row>
    <row r="10" spans="1:19" ht="15.75" customHeight="1">
      <c r="A10" s="466"/>
      <c r="B10" s="467"/>
      <c r="C10" s="471"/>
      <c r="D10" s="475"/>
      <c r="E10" s="471"/>
      <c r="F10" s="464" t="s">
        <v>716</v>
      </c>
      <c r="G10" s="481"/>
      <c r="H10" s="481"/>
      <c r="I10" s="481"/>
      <c r="J10" s="481"/>
      <c r="K10" s="482"/>
      <c r="L10" s="464" t="s">
        <v>717</v>
      </c>
      <c r="M10" s="481"/>
      <c r="N10" s="481"/>
      <c r="O10" s="481"/>
      <c r="P10" s="481"/>
      <c r="Q10" s="481"/>
      <c r="R10" s="481"/>
      <c r="S10" s="482"/>
    </row>
    <row r="11" spans="1:19" ht="36.75" customHeight="1">
      <c r="A11" s="468"/>
      <c r="B11" s="469"/>
      <c r="C11" s="471"/>
      <c r="D11" s="475"/>
      <c r="E11" s="471"/>
      <c r="F11" s="11" t="s">
        <v>718</v>
      </c>
      <c r="G11" s="11" t="s">
        <v>719</v>
      </c>
      <c r="H11" s="11" t="s">
        <v>720</v>
      </c>
      <c r="I11" s="11" t="s">
        <v>721</v>
      </c>
      <c r="J11" s="11" t="s">
        <v>722</v>
      </c>
      <c r="K11" s="13" t="s">
        <v>723</v>
      </c>
      <c r="L11" s="11" t="s">
        <v>724</v>
      </c>
      <c r="M11" s="11" t="s">
        <v>725</v>
      </c>
      <c r="N11" s="11" t="s">
        <v>726</v>
      </c>
      <c r="O11" s="11" t="s">
        <v>727</v>
      </c>
      <c r="P11" s="14" t="s">
        <v>728</v>
      </c>
      <c r="Q11" s="11" t="s">
        <v>729</v>
      </c>
      <c r="R11" s="15" t="s">
        <v>730</v>
      </c>
      <c r="S11" s="15" t="s">
        <v>731</v>
      </c>
    </row>
    <row r="12" spans="1:19" ht="16.5" customHeight="1">
      <c r="A12" s="11" t="s">
        <v>732</v>
      </c>
      <c r="B12" s="11" t="s">
        <v>733</v>
      </c>
      <c r="C12" s="472"/>
      <c r="D12" s="476"/>
      <c r="E12" s="472"/>
      <c r="F12" s="16" t="s">
        <v>734</v>
      </c>
      <c r="G12" s="16" t="s">
        <v>734</v>
      </c>
      <c r="H12" s="16" t="s">
        <v>734</v>
      </c>
      <c r="I12" s="16" t="s">
        <v>734</v>
      </c>
      <c r="J12" s="16" t="s">
        <v>734</v>
      </c>
      <c r="K12" s="16" t="s">
        <v>734</v>
      </c>
      <c r="L12" s="16" t="s">
        <v>735</v>
      </c>
      <c r="M12" s="16" t="s">
        <v>959</v>
      </c>
      <c r="N12" s="16" t="s">
        <v>959</v>
      </c>
      <c r="O12" s="16" t="s">
        <v>960</v>
      </c>
      <c r="P12" s="16" t="s">
        <v>960</v>
      </c>
      <c r="Q12" s="16" t="s">
        <v>960</v>
      </c>
      <c r="R12" s="17" t="s">
        <v>960</v>
      </c>
      <c r="S12" s="16" t="s">
        <v>960</v>
      </c>
    </row>
    <row r="13" spans="1:19" s="18" customFormat="1" ht="14.1" customHeight="1">
      <c r="A13" s="19" t="s">
        <v>736</v>
      </c>
      <c r="B13" s="19" t="s">
        <v>737</v>
      </c>
      <c r="C13" s="20"/>
      <c r="D13" s="483" t="s">
        <v>738</v>
      </c>
      <c r="E13" s="484"/>
      <c r="F13" s="484"/>
      <c r="G13" s="484"/>
      <c r="H13" s="484"/>
      <c r="I13" s="484"/>
      <c r="J13" s="484"/>
      <c r="K13" s="484"/>
      <c r="L13" s="484"/>
      <c r="M13" s="484"/>
      <c r="N13" s="484"/>
      <c r="O13" s="484"/>
      <c r="P13" s="484"/>
      <c r="Q13" s="484"/>
      <c r="R13" s="484"/>
      <c r="S13" s="485"/>
    </row>
    <row r="14" spans="1:19" s="21" customFormat="1" ht="36.75" customHeight="1">
      <c r="A14" s="22" t="s">
        <v>736</v>
      </c>
      <c r="B14" s="22" t="s">
        <v>737</v>
      </c>
      <c r="C14" s="11">
        <v>1</v>
      </c>
      <c r="D14" s="12" t="s">
        <v>739</v>
      </c>
      <c r="E14" s="148" t="s">
        <v>740</v>
      </c>
      <c r="F14" s="11">
        <v>18.7</v>
      </c>
      <c r="G14" s="23">
        <v>20</v>
      </c>
      <c r="H14" s="11">
        <v>27.1</v>
      </c>
      <c r="I14" s="11">
        <v>24.3</v>
      </c>
      <c r="J14" s="11">
        <v>27.5</v>
      </c>
      <c r="K14" s="11">
        <v>29.4</v>
      </c>
      <c r="L14" s="11"/>
      <c r="M14" s="154">
        <v>100</v>
      </c>
      <c r="N14" s="154">
        <v>100</v>
      </c>
      <c r="O14" s="154">
        <v>100</v>
      </c>
      <c r="P14" s="155">
        <v>100</v>
      </c>
      <c r="Q14" s="154">
        <v>100</v>
      </c>
      <c r="R14" s="156">
        <v>100</v>
      </c>
      <c r="S14" s="156">
        <v>100</v>
      </c>
    </row>
    <row r="15" spans="1:19" s="26" customFormat="1" ht="36.75" customHeight="1">
      <c r="A15" s="22" t="s">
        <v>736</v>
      </c>
      <c r="B15" s="22" t="s">
        <v>737</v>
      </c>
      <c r="C15" s="11">
        <v>2</v>
      </c>
      <c r="D15" s="27" t="s">
        <v>741</v>
      </c>
      <c r="E15" s="148" t="s">
        <v>740</v>
      </c>
      <c r="F15" s="11">
        <v>65.5</v>
      </c>
      <c r="G15" s="24">
        <v>63.35</v>
      </c>
      <c r="H15" s="24">
        <v>63.74</v>
      </c>
      <c r="I15" s="24">
        <v>64.5</v>
      </c>
      <c r="J15" s="24">
        <v>69</v>
      </c>
      <c r="K15" s="24">
        <v>69.3</v>
      </c>
      <c r="L15" s="24"/>
      <c r="M15" s="154">
        <v>100</v>
      </c>
      <c r="N15" s="154">
        <v>100</v>
      </c>
      <c r="O15" s="154">
        <v>100</v>
      </c>
      <c r="P15" s="155">
        <v>100</v>
      </c>
      <c r="Q15" s="154">
        <v>100</v>
      </c>
      <c r="R15" s="156">
        <v>100</v>
      </c>
      <c r="S15" s="156">
        <v>100</v>
      </c>
    </row>
    <row r="16" spans="1:19" s="26" customFormat="1" ht="36" customHeight="1">
      <c r="A16" s="22" t="s">
        <v>736</v>
      </c>
      <c r="B16" s="22" t="s">
        <v>737</v>
      </c>
      <c r="C16" s="11">
        <v>3</v>
      </c>
      <c r="D16" s="12" t="s">
        <v>742</v>
      </c>
      <c r="E16" s="148" t="s">
        <v>743</v>
      </c>
      <c r="F16" s="29">
        <v>20.58</v>
      </c>
      <c r="G16" s="29">
        <v>17.27</v>
      </c>
      <c r="H16" s="29">
        <v>16.440000000000001</v>
      </c>
      <c r="I16" s="29">
        <v>15.68</v>
      </c>
      <c r="J16" s="24">
        <v>12.5</v>
      </c>
      <c r="K16" s="24">
        <v>10.6</v>
      </c>
      <c r="L16" s="24"/>
      <c r="M16" s="154">
        <v>40</v>
      </c>
      <c r="N16" s="154">
        <v>0</v>
      </c>
      <c r="O16" s="154">
        <v>0</v>
      </c>
      <c r="P16" s="155">
        <v>0</v>
      </c>
      <c r="Q16" s="154">
        <v>0</v>
      </c>
      <c r="R16" s="157">
        <v>0</v>
      </c>
      <c r="S16" s="157">
        <v>0</v>
      </c>
    </row>
    <row r="17" spans="1:19" s="26" customFormat="1" ht="35.25" customHeight="1">
      <c r="A17" s="22" t="s">
        <v>736</v>
      </c>
      <c r="B17" s="22" t="s">
        <v>737</v>
      </c>
      <c r="C17" s="11">
        <v>4</v>
      </c>
      <c r="D17" s="27" t="s">
        <v>744</v>
      </c>
      <c r="E17" s="148" t="s">
        <v>740</v>
      </c>
      <c r="F17" s="11">
        <v>0</v>
      </c>
      <c r="G17" s="24">
        <v>0</v>
      </c>
      <c r="H17" s="24">
        <v>0</v>
      </c>
      <c r="I17" s="24">
        <v>0</v>
      </c>
      <c r="J17" s="24">
        <v>0</v>
      </c>
      <c r="K17" s="24">
        <v>0.13</v>
      </c>
      <c r="L17" s="24"/>
      <c r="M17" s="154">
        <v>100</v>
      </c>
      <c r="N17" s="154">
        <v>100</v>
      </c>
      <c r="O17" s="154">
        <v>100</v>
      </c>
      <c r="P17" s="155">
        <v>100</v>
      </c>
      <c r="Q17" s="154">
        <v>100</v>
      </c>
      <c r="R17" s="156">
        <v>100</v>
      </c>
      <c r="S17" s="156">
        <v>100</v>
      </c>
    </row>
    <row r="18" spans="1:19" s="26" customFormat="1" ht="34.5" customHeight="1">
      <c r="A18" s="22" t="s">
        <v>736</v>
      </c>
      <c r="B18" s="22" t="s">
        <v>737</v>
      </c>
      <c r="C18" s="11">
        <v>5</v>
      </c>
      <c r="D18" s="27" t="s">
        <v>745</v>
      </c>
      <c r="E18" s="148" t="s">
        <v>740</v>
      </c>
      <c r="F18" s="11">
        <v>17.649999999999999</v>
      </c>
      <c r="G18" s="24">
        <v>23.53</v>
      </c>
      <c r="H18" s="24">
        <v>17.649999999999999</v>
      </c>
      <c r="I18" s="24">
        <v>17.649999999999999</v>
      </c>
      <c r="J18" s="24">
        <v>18.8</v>
      </c>
      <c r="K18" s="24">
        <v>18.8</v>
      </c>
      <c r="L18" s="24"/>
      <c r="M18" s="154">
        <v>100</v>
      </c>
      <c r="N18" s="154">
        <v>100</v>
      </c>
      <c r="O18" s="154">
        <v>100</v>
      </c>
      <c r="P18" s="155">
        <v>100</v>
      </c>
      <c r="Q18" s="154">
        <v>100</v>
      </c>
      <c r="R18" s="156">
        <v>100</v>
      </c>
      <c r="S18" s="156">
        <v>100</v>
      </c>
    </row>
    <row r="19" spans="1:19" s="26" customFormat="1" ht="57.75" hidden="1" customHeight="1">
      <c r="A19" s="22" t="s">
        <v>736</v>
      </c>
      <c r="B19" s="22" t="s">
        <v>737</v>
      </c>
      <c r="C19" s="11">
        <v>6</v>
      </c>
      <c r="D19" s="12" t="s">
        <v>739</v>
      </c>
      <c r="E19" s="11" t="s">
        <v>740</v>
      </c>
      <c r="F19" s="11"/>
      <c r="G19" s="24"/>
      <c r="H19" s="24"/>
      <c r="I19" s="24"/>
      <c r="J19" s="24"/>
      <c r="K19" s="24"/>
      <c r="L19" s="24">
        <v>100</v>
      </c>
      <c r="M19" s="24">
        <v>100</v>
      </c>
      <c r="N19" s="24">
        <v>100</v>
      </c>
      <c r="O19" s="24">
        <v>100</v>
      </c>
      <c r="P19" s="24">
        <v>100</v>
      </c>
      <c r="Q19" s="24">
        <v>100</v>
      </c>
      <c r="R19" s="25">
        <v>100</v>
      </c>
      <c r="S19" s="24"/>
    </row>
    <row r="20" spans="1:19" s="26" customFormat="1" ht="58.5" hidden="1" customHeight="1">
      <c r="A20" s="22" t="s">
        <v>736</v>
      </c>
      <c r="B20" s="22" t="s">
        <v>737</v>
      </c>
      <c r="C20" s="11">
        <v>7</v>
      </c>
      <c r="D20" s="27" t="s">
        <v>741</v>
      </c>
      <c r="E20" s="11" t="s">
        <v>740</v>
      </c>
      <c r="F20" s="11"/>
      <c r="G20" s="24"/>
      <c r="H20" s="24"/>
      <c r="I20" s="24"/>
      <c r="J20" s="24"/>
      <c r="K20" s="24"/>
      <c r="L20" s="24">
        <v>61</v>
      </c>
      <c r="M20" s="24">
        <v>81</v>
      </c>
      <c r="N20" s="24">
        <v>81</v>
      </c>
      <c r="O20" s="24">
        <v>100</v>
      </c>
      <c r="P20" s="24">
        <v>100</v>
      </c>
      <c r="Q20" s="24">
        <v>100</v>
      </c>
      <c r="R20" s="25">
        <v>100</v>
      </c>
      <c r="S20" s="24"/>
    </row>
    <row r="21" spans="1:19" s="26" customFormat="1" ht="35.25" hidden="1" customHeight="1">
      <c r="A21" s="22" t="s">
        <v>736</v>
      </c>
      <c r="B21" s="22" t="s">
        <v>737</v>
      </c>
      <c r="C21" s="11">
        <v>8</v>
      </c>
      <c r="D21" s="12" t="s">
        <v>742</v>
      </c>
      <c r="E21" s="11" t="s">
        <v>743</v>
      </c>
      <c r="F21" s="11"/>
      <c r="G21" s="24"/>
      <c r="H21" s="24"/>
      <c r="I21" s="24"/>
      <c r="J21" s="24"/>
      <c r="K21" s="24"/>
      <c r="L21" s="24">
        <v>80</v>
      </c>
      <c r="M21" s="24">
        <v>0</v>
      </c>
      <c r="N21" s="24">
        <v>0</v>
      </c>
      <c r="O21" s="24">
        <v>40</v>
      </c>
      <c r="P21" s="24">
        <v>0</v>
      </c>
      <c r="Q21" s="24">
        <v>0</v>
      </c>
      <c r="R21" s="25">
        <v>0</v>
      </c>
      <c r="S21" s="24"/>
    </row>
    <row r="22" spans="1:19" s="26" customFormat="1" ht="36" hidden="1" customHeight="1">
      <c r="A22" s="22" t="s">
        <v>736</v>
      </c>
      <c r="B22" s="22" t="s">
        <v>737</v>
      </c>
      <c r="C22" s="11">
        <v>9</v>
      </c>
      <c r="D22" s="12" t="s">
        <v>746</v>
      </c>
      <c r="E22" s="11" t="s">
        <v>747</v>
      </c>
      <c r="F22" s="11"/>
      <c r="G22" s="24"/>
      <c r="H22" s="24"/>
      <c r="I22" s="24"/>
      <c r="J22" s="24"/>
      <c r="K22" s="24"/>
      <c r="L22" s="24">
        <v>80</v>
      </c>
      <c r="M22" s="24">
        <v>0</v>
      </c>
      <c r="N22" s="24">
        <v>0</v>
      </c>
      <c r="O22" s="24">
        <v>80</v>
      </c>
      <c r="P22" s="24">
        <v>0</v>
      </c>
      <c r="Q22" s="24">
        <v>0</v>
      </c>
      <c r="R22" s="25">
        <v>0</v>
      </c>
      <c r="S22" s="24"/>
    </row>
    <row r="23" spans="1:19" s="26" customFormat="1" ht="35.25" hidden="1" customHeight="1">
      <c r="A23" s="22" t="s">
        <v>736</v>
      </c>
      <c r="B23" s="22" t="s">
        <v>737</v>
      </c>
      <c r="C23" s="11">
        <v>10</v>
      </c>
      <c r="D23" s="27" t="s">
        <v>748</v>
      </c>
      <c r="E23" s="11" t="s">
        <v>749</v>
      </c>
      <c r="F23" s="11"/>
      <c r="G23" s="24"/>
      <c r="H23" s="24"/>
      <c r="I23" s="24"/>
      <c r="J23" s="24"/>
      <c r="K23" s="24"/>
      <c r="L23" s="24">
        <v>206</v>
      </c>
      <c r="M23" s="24">
        <v>206</v>
      </c>
      <c r="N23" s="24">
        <v>206</v>
      </c>
      <c r="O23" s="24">
        <v>286</v>
      </c>
      <c r="P23" s="24">
        <v>286</v>
      </c>
      <c r="Q23" s="24">
        <v>286</v>
      </c>
      <c r="R23" s="25">
        <v>286</v>
      </c>
      <c r="S23" s="24"/>
    </row>
    <row r="24" spans="1:19" s="26" customFormat="1" ht="50.25" hidden="1" customHeight="1">
      <c r="A24" s="22" t="s">
        <v>736</v>
      </c>
      <c r="B24" s="22" t="s">
        <v>737</v>
      </c>
      <c r="C24" s="11">
        <v>11</v>
      </c>
      <c r="D24" s="27" t="s">
        <v>750</v>
      </c>
      <c r="E24" s="11" t="s">
        <v>740</v>
      </c>
      <c r="F24" s="11"/>
      <c r="G24" s="24"/>
      <c r="H24" s="24"/>
      <c r="I24" s="24"/>
      <c r="J24" s="24"/>
      <c r="K24" s="24"/>
      <c r="L24" s="24">
        <v>97</v>
      </c>
      <c r="M24" s="24">
        <v>98</v>
      </c>
      <c r="N24" s="24">
        <v>98</v>
      </c>
      <c r="O24" s="24">
        <v>98</v>
      </c>
      <c r="P24" s="24">
        <v>99</v>
      </c>
      <c r="Q24" s="24">
        <v>100</v>
      </c>
      <c r="R24" s="25">
        <v>100</v>
      </c>
      <c r="S24" s="24"/>
    </row>
    <row r="25" spans="1:19" s="26" customFormat="1" ht="36.75" hidden="1" customHeight="1">
      <c r="A25" s="22" t="s">
        <v>736</v>
      </c>
      <c r="B25" s="22" t="s">
        <v>737</v>
      </c>
      <c r="C25" s="11">
        <v>12</v>
      </c>
      <c r="D25" s="27" t="s">
        <v>751</v>
      </c>
      <c r="E25" s="11" t="s">
        <v>740</v>
      </c>
      <c r="F25" s="11"/>
      <c r="G25" s="24"/>
      <c r="H25" s="24"/>
      <c r="I25" s="24"/>
      <c r="J25" s="24"/>
      <c r="K25" s="24"/>
      <c r="L25" s="24">
        <v>100</v>
      </c>
      <c r="M25" s="24">
        <v>100</v>
      </c>
      <c r="N25" s="24">
        <v>100</v>
      </c>
      <c r="O25" s="24">
        <v>100</v>
      </c>
      <c r="P25" s="24">
        <v>100</v>
      </c>
      <c r="Q25" s="24">
        <v>100</v>
      </c>
      <c r="R25" s="25">
        <v>100</v>
      </c>
      <c r="S25" s="24"/>
    </row>
    <row r="26" spans="1:19" s="26" customFormat="1" ht="51" hidden="1" customHeight="1">
      <c r="A26" s="22" t="s">
        <v>736</v>
      </c>
      <c r="B26" s="22" t="s">
        <v>737</v>
      </c>
      <c r="C26" s="11">
        <v>13</v>
      </c>
      <c r="D26" s="27" t="s">
        <v>744</v>
      </c>
      <c r="E26" s="11" t="s">
        <v>740</v>
      </c>
      <c r="F26" s="11"/>
      <c r="G26" s="24"/>
      <c r="H26" s="24"/>
      <c r="I26" s="24"/>
      <c r="J26" s="24"/>
      <c r="K26" s="24"/>
      <c r="L26" s="24">
        <v>100</v>
      </c>
      <c r="M26" s="24">
        <v>100</v>
      </c>
      <c r="N26" s="30">
        <v>100</v>
      </c>
      <c r="O26" s="30">
        <v>100</v>
      </c>
      <c r="P26" s="30">
        <v>100</v>
      </c>
      <c r="Q26" s="30">
        <v>100</v>
      </c>
      <c r="R26" s="31">
        <v>100</v>
      </c>
      <c r="S26" s="30"/>
    </row>
    <row r="27" spans="1:19" s="26" customFormat="1" ht="46.5" hidden="1" customHeight="1">
      <c r="A27" s="22" t="s">
        <v>736</v>
      </c>
      <c r="B27" s="22" t="s">
        <v>737</v>
      </c>
      <c r="C27" s="11">
        <v>14</v>
      </c>
      <c r="D27" s="27" t="s">
        <v>752</v>
      </c>
      <c r="E27" s="11" t="s">
        <v>747</v>
      </c>
      <c r="F27" s="11"/>
      <c r="G27" s="24"/>
      <c r="H27" s="24"/>
      <c r="I27" s="24"/>
      <c r="J27" s="24"/>
      <c r="K27" s="24"/>
      <c r="L27" s="24">
        <v>1000</v>
      </c>
      <c r="M27" s="24">
        <v>1250</v>
      </c>
      <c r="N27" s="24">
        <v>1300</v>
      </c>
      <c r="O27" s="24">
        <v>1350</v>
      </c>
      <c r="P27" s="24">
        <v>1400</v>
      </c>
      <c r="Q27" s="24">
        <v>1500</v>
      </c>
      <c r="R27" s="25">
        <v>1500</v>
      </c>
      <c r="S27" s="24"/>
    </row>
    <row r="28" spans="1:19" s="26" customFormat="1" ht="33.75" hidden="1">
      <c r="A28" s="22" t="s">
        <v>736</v>
      </c>
      <c r="B28" s="22" t="s">
        <v>737</v>
      </c>
      <c r="C28" s="11">
        <v>15</v>
      </c>
      <c r="D28" s="27" t="s">
        <v>753</v>
      </c>
      <c r="E28" s="11" t="s">
        <v>740</v>
      </c>
      <c r="F28" s="11"/>
      <c r="G28" s="24"/>
      <c r="H28" s="24"/>
      <c r="I28" s="24"/>
      <c r="J28" s="24"/>
      <c r="K28" s="24"/>
      <c r="L28" s="24">
        <v>75</v>
      </c>
      <c r="M28" s="24">
        <v>80</v>
      </c>
      <c r="N28" s="24">
        <v>80</v>
      </c>
      <c r="O28" s="24">
        <v>85</v>
      </c>
      <c r="P28" s="24">
        <v>90</v>
      </c>
      <c r="Q28" s="24">
        <v>90</v>
      </c>
      <c r="R28" s="25">
        <v>90</v>
      </c>
      <c r="S28" s="24"/>
    </row>
    <row r="29" spans="1:19" s="26" customFormat="1" ht="33.75" hidden="1">
      <c r="A29" s="22" t="s">
        <v>736</v>
      </c>
      <c r="B29" s="22" t="s">
        <v>737</v>
      </c>
      <c r="C29" s="11">
        <v>16</v>
      </c>
      <c r="D29" s="27" t="s">
        <v>754</v>
      </c>
      <c r="E29" s="11" t="s">
        <v>749</v>
      </c>
      <c r="F29" s="11"/>
      <c r="G29" s="24"/>
      <c r="H29" s="24"/>
      <c r="I29" s="24"/>
      <c r="J29" s="24"/>
      <c r="K29" s="24"/>
      <c r="L29" s="24">
        <v>0</v>
      </c>
      <c r="M29" s="24">
        <v>0</v>
      </c>
      <c r="N29" s="24">
        <v>0</v>
      </c>
      <c r="O29" s="24">
        <v>0</v>
      </c>
      <c r="P29" s="24">
        <v>0</v>
      </c>
      <c r="Q29" s="24">
        <v>0.1</v>
      </c>
      <c r="R29" s="25">
        <v>0.1</v>
      </c>
      <c r="S29" s="24"/>
    </row>
    <row r="30" spans="1:19" s="26" customFormat="1" ht="33.75" hidden="1">
      <c r="A30" s="22" t="s">
        <v>736</v>
      </c>
      <c r="B30" s="22" t="s">
        <v>737</v>
      </c>
      <c r="C30" s="11">
        <v>17</v>
      </c>
      <c r="D30" s="27" t="s">
        <v>755</v>
      </c>
      <c r="E30" s="11" t="s">
        <v>740</v>
      </c>
      <c r="F30" s="11"/>
      <c r="G30" s="24"/>
      <c r="H30" s="24"/>
      <c r="I30" s="24"/>
      <c r="J30" s="24"/>
      <c r="K30" s="24"/>
      <c r="L30" s="24">
        <v>0</v>
      </c>
      <c r="M30" s="24">
        <v>0</v>
      </c>
      <c r="N30" s="24">
        <v>0</v>
      </c>
      <c r="O30" s="24">
        <v>0</v>
      </c>
      <c r="P30" s="24">
        <v>0</v>
      </c>
      <c r="Q30" s="24">
        <v>0.1</v>
      </c>
      <c r="R30" s="25">
        <v>0.1</v>
      </c>
      <c r="S30" s="24"/>
    </row>
    <row r="31" spans="1:19" s="26" customFormat="1" ht="33.75" hidden="1">
      <c r="A31" s="22" t="s">
        <v>736</v>
      </c>
      <c r="B31" s="22" t="s">
        <v>737</v>
      </c>
      <c r="C31" s="11">
        <v>18</v>
      </c>
      <c r="D31" s="27" t="s">
        <v>756</v>
      </c>
      <c r="E31" s="11" t="s">
        <v>740</v>
      </c>
      <c r="F31" s="11"/>
      <c r="G31" s="24"/>
      <c r="H31" s="24"/>
      <c r="I31" s="24"/>
      <c r="J31" s="24"/>
      <c r="K31" s="24"/>
      <c r="L31" s="24">
        <v>25</v>
      </c>
      <c r="M31" s="24">
        <v>25</v>
      </c>
      <c r="N31" s="24">
        <v>25</v>
      </c>
      <c r="O31" s="24">
        <v>25</v>
      </c>
      <c r="P31" s="24">
        <v>25</v>
      </c>
      <c r="Q31" s="24">
        <v>25</v>
      </c>
      <c r="R31" s="25">
        <v>25</v>
      </c>
      <c r="S31" s="24"/>
    </row>
    <row r="32" spans="1:19" s="18" customFormat="1" ht="14.1" customHeight="1">
      <c r="A32" s="19" t="s">
        <v>736</v>
      </c>
      <c r="B32" s="19" t="s">
        <v>757</v>
      </c>
      <c r="C32" s="20"/>
      <c r="D32" s="483" t="s">
        <v>758</v>
      </c>
      <c r="E32" s="484"/>
      <c r="F32" s="484"/>
      <c r="G32" s="484"/>
      <c r="H32" s="484"/>
      <c r="I32" s="484"/>
      <c r="J32" s="484"/>
      <c r="K32" s="484"/>
      <c r="L32" s="484"/>
      <c r="M32" s="484"/>
      <c r="N32" s="484"/>
      <c r="O32" s="484"/>
      <c r="P32" s="484"/>
      <c r="Q32" s="484"/>
      <c r="R32" s="484"/>
      <c r="S32" s="485"/>
    </row>
    <row r="33" spans="1:19" s="26" customFormat="1" ht="58.5" customHeight="1">
      <c r="A33" s="22" t="s">
        <v>736</v>
      </c>
      <c r="B33" s="22" t="s">
        <v>757</v>
      </c>
      <c r="C33" s="11">
        <v>1</v>
      </c>
      <c r="D33" s="177" t="s">
        <v>961</v>
      </c>
      <c r="E33" s="148" t="s">
        <v>740</v>
      </c>
      <c r="F33" s="158"/>
      <c r="G33" s="158"/>
      <c r="H33" s="158">
        <v>65.599999999999994</v>
      </c>
      <c r="I33" s="158">
        <v>72</v>
      </c>
      <c r="J33" s="158">
        <v>78.099999999999994</v>
      </c>
      <c r="K33" s="159">
        <v>84.4</v>
      </c>
      <c r="L33" s="158">
        <v>90.6</v>
      </c>
      <c r="M33" s="160">
        <v>100</v>
      </c>
      <c r="N33" s="160">
        <v>100</v>
      </c>
      <c r="O33" s="160">
        <v>100</v>
      </c>
      <c r="P33" s="161">
        <v>100</v>
      </c>
      <c r="Q33" s="160">
        <v>100</v>
      </c>
      <c r="R33" s="156">
        <v>100</v>
      </c>
      <c r="S33" s="156">
        <v>100</v>
      </c>
    </row>
    <row r="34" spans="1:19" s="1" customFormat="1" ht="22.5">
      <c r="A34" s="22" t="s">
        <v>736</v>
      </c>
      <c r="B34" s="22" t="s">
        <v>757</v>
      </c>
      <c r="C34" s="11">
        <v>2</v>
      </c>
      <c r="D34" s="12" t="s">
        <v>759</v>
      </c>
      <c r="E34" s="148" t="s">
        <v>740</v>
      </c>
      <c r="F34" s="158"/>
      <c r="G34" s="158"/>
      <c r="H34" s="158">
        <v>87.5</v>
      </c>
      <c r="I34" s="158">
        <v>91</v>
      </c>
      <c r="J34" s="158">
        <v>91.7</v>
      </c>
      <c r="K34" s="159">
        <v>95.1</v>
      </c>
      <c r="L34" s="158">
        <v>94</v>
      </c>
      <c r="M34" s="160">
        <v>100</v>
      </c>
      <c r="N34" s="160">
        <v>100</v>
      </c>
      <c r="O34" s="160">
        <v>100</v>
      </c>
      <c r="P34" s="161">
        <v>100</v>
      </c>
      <c r="Q34" s="160">
        <v>100</v>
      </c>
      <c r="R34" s="156">
        <v>100</v>
      </c>
      <c r="S34" s="156">
        <v>100</v>
      </c>
    </row>
    <row r="35" spans="1:19" s="1" customFormat="1" ht="22.5">
      <c r="A35" s="22" t="s">
        <v>736</v>
      </c>
      <c r="B35" s="22" t="s">
        <v>757</v>
      </c>
      <c r="C35" s="11">
        <v>3</v>
      </c>
      <c r="D35" s="12" t="s">
        <v>760</v>
      </c>
      <c r="E35" s="148" t="s">
        <v>740</v>
      </c>
      <c r="F35" s="158"/>
      <c r="G35" s="158"/>
      <c r="H35" s="158">
        <v>93.1</v>
      </c>
      <c r="I35" s="158">
        <v>89.3</v>
      </c>
      <c r="J35" s="158">
        <v>91.6</v>
      </c>
      <c r="K35" s="159">
        <v>100</v>
      </c>
      <c r="L35" s="158">
        <v>100</v>
      </c>
      <c r="M35" s="160">
        <v>100</v>
      </c>
      <c r="N35" s="160">
        <v>100</v>
      </c>
      <c r="O35" s="160">
        <v>100</v>
      </c>
      <c r="P35" s="161">
        <v>100</v>
      </c>
      <c r="Q35" s="160">
        <v>100</v>
      </c>
      <c r="R35" s="156">
        <v>100</v>
      </c>
      <c r="S35" s="156">
        <v>100</v>
      </c>
    </row>
    <row r="36" spans="1:19" s="26" customFormat="1" ht="78.75">
      <c r="A36" s="22" t="s">
        <v>736</v>
      </c>
      <c r="B36" s="22" t="s">
        <v>757</v>
      </c>
      <c r="C36" s="11">
        <v>4</v>
      </c>
      <c r="D36" s="12" t="s">
        <v>761</v>
      </c>
      <c r="E36" s="148" t="s">
        <v>740</v>
      </c>
      <c r="F36" s="162"/>
      <c r="G36" s="163"/>
      <c r="H36" s="164">
        <v>1.96</v>
      </c>
      <c r="I36" s="164">
        <v>1.5</v>
      </c>
      <c r="J36" s="164">
        <v>1.7</v>
      </c>
      <c r="K36" s="165">
        <v>1.3</v>
      </c>
      <c r="L36" s="164">
        <v>1.63</v>
      </c>
      <c r="M36" s="166">
        <v>100</v>
      </c>
      <c r="N36" s="166">
        <v>100</v>
      </c>
      <c r="O36" s="166">
        <v>100</v>
      </c>
      <c r="P36" s="167">
        <v>100</v>
      </c>
      <c r="Q36" s="166">
        <v>100</v>
      </c>
      <c r="R36" s="156">
        <v>100</v>
      </c>
      <c r="S36" s="156">
        <v>100</v>
      </c>
    </row>
    <row r="37" spans="1:19" s="26" customFormat="1" ht="23.25" hidden="1">
      <c r="A37" s="22" t="s">
        <v>736</v>
      </c>
      <c r="B37" s="22" t="s">
        <v>757</v>
      </c>
      <c r="C37" s="11">
        <v>5</v>
      </c>
      <c r="D37" s="39" t="s">
        <v>762</v>
      </c>
      <c r="E37" s="148" t="s">
        <v>740</v>
      </c>
      <c r="F37" s="162"/>
      <c r="G37" s="163"/>
      <c r="H37" s="164"/>
      <c r="I37" s="164">
        <v>100</v>
      </c>
      <c r="J37" s="164">
        <v>100</v>
      </c>
      <c r="K37" s="165">
        <v>100</v>
      </c>
      <c r="L37" s="164">
        <v>100</v>
      </c>
      <c r="M37" s="166">
        <v>18</v>
      </c>
      <c r="N37" s="166">
        <v>19</v>
      </c>
      <c r="O37" s="166">
        <v>20</v>
      </c>
      <c r="P37" s="167">
        <v>21</v>
      </c>
      <c r="Q37" s="166">
        <v>21</v>
      </c>
      <c r="R37" s="156"/>
      <c r="S37" s="156"/>
    </row>
    <row r="38" spans="1:19" s="26" customFormat="1" ht="45">
      <c r="A38" s="22" t="s">
        <v>736</v>
      </c>
      <c r="B38" s="22" t="s">
        <v>757</v>
      </c>
      <c r="C38" s="11">
        <v>5</v>
      </c>
      <c r="D38" s="12" t="s">
        <v>763</v>
      </c>
      <c r="E38" s="148" t="s">
        <v>740</v>
      </c>
      <c r="F38" s="162"/>
      <c r="G38" s="163"/>
      <c r="H38" s="164"/>
      <c r="I38" s="164">
        <v>100</v>
      </c>
      <c r="J38" s="164">
        <v>100</v>
      </c>
      <c r="K38" s="165">
        <v>100</v>
      </c>
      <c r="L38" s="164">
        <v>100</v>
      </c>
      <c r="M38" s="166">
        <v>30</v>
      </c>
      <c r="N38" s="166">
        <v>60</v>
      </c>
      <c r="O38" s="166">
        <v>80</v>
      </c>
      <c r="P38" s="167">
        <v>100</v>
      </c>
      <c r="Q38" s="166">
        <v>100</v>
      </c>
      <c r="R38" s="156">
        <v>100</v>
      </c>
      <c r="S38" s="156">
        <v>100</v>
      </c>
    </row>
    <row r="39" spans="1:19" s="26" customFormat="1" hidden="1">
      <c r="A39" s="22" t="s">
        <v>736</v>
      </c>
      <c r="B39" s="22" t="s">
        <v>757</v>
      </c>
      <c r="C39" s="11">
        <v>7</v>
      </c>
      <c r="D39" s="12" t="s">
        <v>764</v>
      </c>
      <c r="E39" s="11" t="s">
        <v>740</v>
      </c>
      <c r="F39" s="11">
        <v>99</v>
      </c>
      <c r="G39" s="35">
        <v>99.5</v>
      </c>
      <c r="H39" s="35">
        <v>99.8</v>
      </c>
      <c r="I39" s="35">
        <v>99.8</v>
      </c>
      <c r="J39" s="35">
        <v>99.9</v>
      </c>
      <c r="K39" s="36">
        <v>99.9</v>
      </c>
      <c r="L39" s="35">
        <v>99.9</v>
      </c>
      <c r="M39" s="35">
        <v>99.9</v>
      </c>
      <c r="N39" s="36">
        <v>99.9</v>
      </c>
      <c r="O39" s="36">
        <v>99.9</v>
      </c>
      <c r="P39" s="36">
        <v>99.9</v>
      </c>
      <c r="Q39" s="36">
        <v>99.9</v>
      </c>
      <c r="R39" s="40">
        <v>99.9</v>
      </c>
      <c r="S39" s="36"/>
    </row>
    <row r="40" spans="1:19" s="26" customFormat="1" ht="33.75" hidden="1">
      <c r="A40" s="22" t="s">
        <v>736</v>
      </c>
      <c r="B40" s="22" t="s">
        <v>757</v>
      </c>
      <c r="C40" s="11">
        <v>8</v>
      </c>
      <c r="D40" s="12" t="s">
        <v>765</v>
      </c>
      <c r="E40" s="11" t="s">
        <v>740</v>
      </c>
      <c r="F40" s="11">
        <v>73.319999999999993</v>
      </c>
      <c r="G40" s="24">
        <v>74</v>
      </c>
      <c r="H40" s="24">
        <v>74.7</v>
      </c>
      <c r="I40" s="24">
        <v>75</v>
      </c>
      <c r="J40" s="24">
        <v>80</v>
      </c>
      <c r="K40" s="30">
        <v>80</v>
      </c>
      <c r="L40" s="24">
        <v>80.2</v>
      </c>
      <c r="M40" s="24">
        <v>80.3</v>
      </c>
      <c r="N40" s="11">
        <v>80.400000000000006</v>
      </c>
      <c r="O40" s="37">
        <v>80.5</v>
      </c>
      <c r="P40" s="37">
        <v>80.599999999999994</v>
      </c>
      <c r="Q40" s="37">
        <v>80.7</v>
      </c>
      <c r="R40" s="38">
        <v>80.8</v>
      </c>
      <c r="S40" s="37"/>
    </row>
    <row r="41" spans="1:19" s="26" customFormat="1" ht="33.75" hidden="1">
      <c r="A41" s="22" t="s">
        <v>736</v>
      </c>
      <c r="B41" s="22" t="s">
        <v>757</v>
      </c>
      <c r="C41" s="11">
        <v>9</v>
      </c>
      <c r="D41" s="12" t="s">
        <v>766</v>
      </c>
      <c r="E41" s="11" t="s">
        <v>740</v>
      </c>
      <c r="F41" s="11">
        <v>11.4</v>
      </c>
      <c r="G41" s="24">
        <v>12.7</v>
      </c>
      <c r="H41" s="24">
        <v>20</v>
      </c>
      <c r="I41" s="24">
        <v>22.1</v>
      </c>
      <c r="J41" s="24">
        <v>22.3</v>
      </c>
      <c r="K41" s="30">
        <v>22.3</v>
      </c>
      <c r="L41" s="24">
        <v>22.6</v>
      </c>
      <c r="M41" s="24">
        <v>22.9</v>
      </c>
      <c r="N41" s="11">
        <v>23.2</v>
      </c>
      <c r="O41" s="37">
        <v>23.5</v>
      </c>
      <c r="P41" s="37">
        <v>23.8</v>
      </c>
      <c r="Q41" s="37">
        <v>24.1</v>
      </c>
      <c r="R41" s="38">
        <v>24.4</v>
      </c>
      <c r="S41" s="37"/>
    </row>
    <row r="42" spans="1:19" s="26" customFormat="1" hidden="1">
      <c r="A42" s="22" t="s">
        <v>736</v>
      </c>
      <c r="B42" s="22" t="s">
        <v>757</v>
      </c>
      <c r="C42" s="11">
        <v>10</v>
      </c>
      <c r="D42" s="12" t="s">
        <v>767</v>
      </c>
      <c r="E42" s="11" t="s">
        <v>747</v>
      </c>
      <c r="F42" s="11"/>
      <c r="G42" s="24"/>
      <c r="H42" s="24"/>
      <c r="I42" s="24"/>
      <c r="J42" s="24"/>
      <c r="K42" s="30"/>
      <c r="L42" s="24"/>
      <c r="M42" s="24">
        <v>500</v>
      </c>
      <c r="N42" s="11">
        <v>0</v>
      </c>
      <c r="O42" s="37">
        <v>0</v>
      </c>
      <c r="P42" s="37">
        <v>0</v>
      </c>
      <c r="Q42" s="37">
        <v>0</v>
      </c>
      <c r="R42" s="38">
        <v>0</v>
      </c>
      <c r="S42" s="37"/>
    </row>
    <row r="43" spans="1:19" s="26" customFormat="1" ht="22.5" hidden="1">
      <c r="A43" s="22" t="s">
        <v>736</v>
      </c>
      <c r="B43" s="22" t="s">
        <v>757</v>
      </c>
      <c r="C43" s="11">
        <v>11</v>
      </c>
      <c r="D43" s="12" t="s">
        <v>768</v>
      </c>
      <c r="E43" s="11" t="s">
        <v>740</v>
      </c>
      <c r="F43" s="23">
        <v>84.4</v>
      </c>
      <c r="G43" s="23">
        <v>84.2</v>
      </c>
      <c r="H43" s="23">
        <v>82.7</v>
      </c>
      <c r="I43" s="23">
        <v>85</v>
      </c>
      <c r="J43" s="23">
        <v>85</v>
      </c>
      <c r="K43" s="32">
        <v>88</v>
      </c>
      <c r="L43" s="23">
        <v>89</v>
      </c>
      <c r="M43" s="23">
        <v>90</v>
      </c>
      <c r="N43" s="23">
        <v>92</v>
      </c>
      <c r="O43" s="33">
        <v>95</v>
      </c>
      <c r="P43" s="33">
        <v>97</v>
      </c>
      <c r="Q43" s="33">
        <v>99</v>
      </c>
      <c r="R43" s="34">
        <v>99</v>
      </c>
      <c r="S43" s="33"/>
    </row>
    <row r="44" spans="1:19" s="26" customFormat="1" ht="22.5" hidden="1">
      <c r="A44" s="22" t="s">
        <v>736</v>
      </c>
      <c r="B44" s="22" t="s">
        <v>757</v>
      </c>
      <c r="C44" s="11">
        <v>12</v>
      </c>
      <c r="D44" s="12" t="s">
        <v>769</v>
      </c>
      <c r="E44" s="11" t="s">
        <v>740</v>
      </c>
      <c r="F44" s="23"/>
      <c r="G44" s="23"/>
      <c r="H44" s="23"/>
      <c r="I44" s="23"/>
      <c r="J44" s="23"/>
      <c r="K44" s="32"/>
      <c r="L44" s="23"/>
      <c r="M44" s="23">
        <v>15</v>
      </c>
      <c r="N44" s="23">
        <v>25</v>
      </c>
      <c r="O44" s="33">
        <v>55</v>
      </c>
      <c r="P44" s="33">
        <v>70</v>
      </c>
      <c r="Q44" s="33">
        <v>100</v>
      </c>
      <c r="R44" s="34">
        <v>100</v>
      </c>
      <c r="S44" s="33"/>
    </row>
    <row r="45" spans="1:19" s="26" customFormat="1" ht="45" hidden="1">
      <c r="A45" s="22" t="s">
        <v>736</v>
      </c>
      <c r="B45" s="22" t="s">
        <v>757</v>
      </c>
      <c r="C45" s="11">
        <v>13</v>
      </c>
      <c r="D45" s="12" t="s">
        <v>770</v>
      </c>
      <c r="E45" s="11" t="s">
        <v>740</v>
      </c>
      <c r="F45" s="11">
        <v>91.41</v>
      </c>
      <c r="G45" s="24">
        <v>95.28</v>
      </c>
      <c r="H45" s="24">
        <v>95.83</v>
      </c>
      <c r="I45" s="35">
        <v>95.83</v>
      </c>
      <c r="J45" s="35">
        <v>95</v>
      </c>
      <c r="K45" s="36">
        <v>95</v>
      </c>
      <c r="L45" s="35">
        <v>95</v>
      </c>
      <c r="M45" s="35">
        <v>95</v>
      </c>
      <c r="N45" s="35">
        <v>95</v>
      </c>
      <c r="O45" s="35">
        <v>95</v>
      </c>
      <c r="P45" s="35">
        <v>95</v>
      </c>
      <c r="Q45" s="35">
        <v>95</v>
      </c>
      <c r="R45" s="41">
        <v>95</v>
      </c>
      <c r="S45" s="35"/>
    </row>
    <row r="46" spans="1:19" s="26" customFormat="1" ht="22.5" hidden="1">
      <c r="A46" s="22" t="s">
        <v>736</v>
      </c>
      <c r="B46" s="22" t="s">
        <v>757</v>
      </c>
      <c r="C46" s="11">
        <v>14</v>
      </c>
      <c r="D46" s="12" t="s">
        <v>771</v>
      </c>
      <c r="E46" s="11" t="s">
        <v>740</v>
      </c>
      <c r="F46" s="11">
        <v>19</v>
      </c>
      <c r="G46" s="24">
        <v>30</v>
      </c>
      <c r="H46" s="24">
        <v>40</v>
      </c>
      <c r="I46" s="24">
        <v>47.5</v>
      </c>
      <c r="J46" s="24">
        <v>58.5</v>
      </c>
      <c r="K46" s="30">
        <v>66.5</v>
      </c>
      <c r="L46" s="24">
        <v>76</v>
      </c>
      <c r="M46" s="24">
        <v>80</v>
      </c>
      <c r="N46" s="11">
        <v>100</v>
      </c>
      <c r="O46" s="11">
        <v>100</v>
      </c>
      <c r="P46" s="11">
        <v>100</v>
      </c>
      <c r="Q46" s="11">
        <v>100</v>
      </c>
      <c r="R46" s="14">
        <v>100</v>
      </c>
      <c r="S46" s="11"/>
    </row>
    <row r="47" spans="1:19" s="26" customFormat="1" ht="33.75" hidden="1">
      <c r="A47" s="22" t="s">
        <v>736</v>
      </c>
      <c r="B47" s="22" t="s">
        <v>757</v>
      </c>
      <c r="C47" s="11">
        <v>15</v>
      </c>
      <c r="D47" s="12" t="s">
        <v>772</v>
      </c>
      <c r="E47" s="11" t="s">
        <v>740</v>
      </c>
      <c r="F47" s="29">
        <v>20</v>
      </c>
      <c r="G47" s="29">
        <v>26.67</v>
      </c>
      <c r="H47" s="29">
        <v>25</v>
      </c>
      <c r="I47" s="29">
        <v>18.75</v>
      </c>
      <c r="J47" s="24">
        <v>18.5</v>
      </c>
      <c r="K47" s="30">
        <v>18.5</v>
      </c>
      <c r="L47" s="24">
        <v>18.5</v>
      </c>
      <c r="M47" s="24">
        <v>18.5</v>
      </c>
      <c r="N47" s="24">
        <v>18.5</v>
      </c>
      <c r="O47" s="37"/>
      <c r="P47" s="37"/>
      <c r="Q47" s="37"/>
      <c r="R47" s="42"/>
      <c r="S47" s="28"/>
    </row>
    <row r="48" spans="1:19" s="26" customFormat="1" ht="22.5" hidden="1">
      <c r="A48" s="22" t="s">
        <v>736</v>
      </c>
      <c r="B48" s="22" t="s">
        <v>757</v>
      </c>
      <c r="C48" s="11">
        <v>16</v>
      </c>
      <c r="D48" s="12" t="s">
        <v>773</v>
      </c>
      <c r="E48" s="11" t="s">
        <v>774</v>
      </c>
      <c r="F48" s="29">
        <v>78.92</v>
      </c>
      <c r="G48" s="29">
        <v>77.900000000000006</v>
      </c>
      <c r="H48" s="29">
        <v>74.34</v>
      </c>
      <c r="I48" s="29">
        <v>73.95</v>
      </c>
      <c r="J48" s="24">
        <v>77.599999999999994</v>
      </c>
      <c r="K48" s="30">
        <v>81.5</v>
      </c>
      <c r="L48" s="24">
        <v>85.6</v>
      </c>
      <c r="M48" s="24">
        <v>89.9</v>
      </c>
      <c r="N48" s="37">
        <v>106.2</v>
      </c>
      <c r="O48" s="37"/>
      <c r="P48" s="37"/>
      <c r="Q48" s="37"/>
      <c r="R48" s="42"/>
      <c r="S48" s="28"/>
    </row>
    <row r="49" spans="1:19" s="26" customFormat="1" ht="57" hidden="1" customHeight="1">
      <c r="A49" s="22" t="s">
        <v>736</v>
      </c>
      <c r="B49" s="22" t="s">
        <v>757</v>
      </c>
      <c r="C49" s="11">
        <v>17</v>
      </c>
      <c r="D49" s="12" t="s">
        <v>775</v>
      </c>
      <c r="E49" s="11" t="s">
        <v>774</v>
      </c>
      <c r="F49" s="29"/>
      <c r="G49" s="29"/>
      <c r="H49" s="29"/>
      <c r="I49" s="29"/>
      <c r="J49" s="24"/>
      <c r="K49" s="30"/>
      <c r="L49" s="24"/>
      <c r="M49" s="24">
        <v>3770.1</v>
      </c>
      <c r="N49" s="43">
        <v>11310.3</v>
      </c>
      <c r="O49" s="43">
        <v>11310.3</v>
      </c>
      <c r="P49" s="37"/>
      <c r="Q49" s="37"/>
      <c r="R49" s="42"/>
      <c r="S49" s="28"/>
    </row>
    <row r="50" spans="1:19" s="26" customFormat="1" ht="51" hidden="1" customHeight="1">
      <c r="A50" s="22" t="s">
        <v>736</v>
      </c>
      <c r="B50" s="22" t="s">
        <v>757</v>
      </c>
      <c r="C50" s="11">
        <v>18</v>
      </c>
      <c r="D50" s="44" t="s">
        <v>776</v>
      </c>
      <c r="E50" s="11" t="s">
        <v>747</v>
      </c>
      <c r="F50" s="29"/>
      <c r="G50" s="29"/>
      <c r="H50" s="29"/>
      <c r="I50" s="29"/>
      <c r="J50" s="24"/>
      <c r="K50" s="30"/>
      <c r="L50" s="24"/>
      <c r="M50" s="24">
        <v>2</v>
      </c>
      <c r="N50" s="43">
        <v>4</v>
      </c>
      <c r="O50" s="43">
        <v>4</v>
      </c>
      <c r="P50" s="37">
        <v>5</v>
      </c>
      <c r="Q50" s="37">
        <v>5</v>
      </c>
      <c r="R50" s="38">
        <v>5</v>
      </c>
      <c r="S50" s="37"/>
    </row>
    <row r="51" spans="1:19" s="26" customFormat="1" ht="34.5" hidden="1" customHeight="1">
      <c r="A51" s="22" t="s">
        <v>736</v>
      </c>
      <c r="B51" s="22" t="s">
        <v>757</v>
      </c>
      <c r="C51" s="11">
        <v>19</v>
      </c>
      <c r="D51" s="44" t="s">
        <v>777</v>
      </c>
      <c r="E51" s="11" t="s">
        <v>778</v>
      </c>
      <c r="F51" s="29"/>
      <c r="G51" s="29"/>
      <c r="H51" s="29"/>
      <c r="I51" s="29"/>
      <c r="J51" s="24"/>
      <c r="K51" s="30"/>
      <c r="L51" s="24"/>
      <c r="M51" s="24">
        <v>1.8</v>
      </c>
      <c r="N51" s="43">
        <v>2.2000000000000002</v>
      </c>
      <c r="O51" s="43">
        <v>2.4</v>
      </c>
      <c r="P51" s="37">
        <v>2.5</v>
      </c>
      <c r="Q51" s="37">
        <v>2.6</v>
      </c>
      <c r="R51" s="38">
        <v>2.6</v>
      </c>
      <c r="S51" s="37"/>
    </row>
    <row r="52" spans="1:19" s="26" customFormat="1" ht="47.25" hidden="1" customHeight="1">
      <c r="A52" s="22" t="s">
        <v>736</v>
      </c>
      <c r="B52" s="22" t="s">
        <v>757</v>
      </c>
      <c r="C52" s="11">
        <v>20</v>
      </c>
      <c r="D52" s="44" t="s">
        <v>779</v>
      </c>
      <c r="E52" s="11" t="s">
        <v>774</v>
      </c>
      <c r="F52" s="29"/>
      <c r="G52" s="29"/>
      <c r="H52" s="29"/>
      <c r="I52" s="29"/>
      <c r="J52" s="24"/>
      <c r="K52" s="30"/>
      <c r="L52" s="43">
        <v>611.61500000000001</v>
      </c>
      <c r="M52" s="43">
        <v>346.9</v>
      </c>
      <c r="N52" s="43"/>
      <c r="O52" s="43"/>
      <c r="P52" s="37"/>
      <c r="Q52" s="37"/>
      <c r="R52" s="42"/>
      <c r="S52" s="28"/>
    </row>
    <row r="53" spans="1:19" s="18" customFormat="1" ht="14.1" customHeight="1">
      <c r="A53" s="19" t="s">
        <v>736</v>
      </c>
      <c r="B53" s="19" t="s">
        <v>780</v>
      </c>
      <c r="C53" s="20"/>
      <c r="D53" s="483" t="s">
        <v>781</v>
      </c>
      <c r="E53" s="484"/>
      <c r="F53" s="484"/>
      <c r="G53" s="484"/>
      <c r="H53" s="484"/>
      <c r="I53" s="484"/>
      <c r="J53" s="484"/>
      <c r="K53" s="484"/>
      <c r="L53" s="484"/>
      <c r="M53" s="484"/>
      <c r="N53" s="484"/>
      <c r="O53" s="484"/>
      <c r="P53" s="484"/>
      <c r="Q53" s="484"/>
      <c r="R53" s="484"/>
      <c r="S53" s="485"/>
    </row>
    <row r="54" spans="1:19" s="18" customFormat="1" ht="14.1" customHeight="1">
      <c r="A54" s="22" t="s">
        <v>736</v>
      </c>
      <c r="B54" s="22" t="s">
        <v>780</v>
      </c>
      <c r="C54" s="11">
        <v>1</v>
      </c>
      <c r="D54" s="117" t="s">
        <v>782</v>
      </c>
      <c r="E54" s="148" t="s">
        <v>740</v>
      </c>
      <c r="F54" s="148">
        <v>0</v>
      </c>
      <c r="G54" s="164">
        <v>0</v>
      </c>
      <c r="H54" s="164">
        <v>0</v>
      </c>
      <c r="I54" s="164">
        <v>0</v>
      </c>
      <c r="J54" s="154">
        <v>0</v>
      </c>
      <c r="K54" s="168">
        <v>0</v>
      </c>
      <c r="L54" s="154">
        <v>100</v>
      </c>
      <c r="M54" s="166">
        <v>100</v>
      </c>
      <c r="N54" s="166">
        <v>100</v>
      </c>
      <c r="O54" s="166">
        <v>100</v>
      </c>
      <c r="P54" s="167">
        <v>100</v>
      </c>
      <c r="Q54" s="166">
        <v>100</v>
      </c>
      <c r="R54" s="169">
        <v>100</v>
      </c>
      <c r="S54" s="169">
        <v>100</v>
      </c>
    </row>
    <row r="55" spans="1:19" s="18" customFormat="1" ht="33.75" customHeight="1">
      <c r="A55" s="45" t="s">
        <v>736</v>
      </c>
      <c r="B55" s="45" t="s">
        <v>780</v>
      </c>
      <c r="C55" s="151">
        <v>2</v>
      </c>
      <c r="D55" s="152" t="s">
        <v>783</v>
      </c>
      <c r="E55" s="170" t="s">
        <v>740</v>
      </c>
      <c r="F55" s="148">
        <v>0</v>
      </c>
      <c r="G55" s="164">
        <v>0</v>
      </c>
      <c r="H55" s="164">
        <v>0</v>
      </c>
      <c r="I55" s="164">
        <v>0</v>
      </c>
      <c r="J55" s="154">
        <v>0</v>
      </c>
      <c r="K55" s="168">
        <v>100</v>
      </c>
      <c r="L55" s="154">
        <v>75</v>
      </c>
      <c r="M55" s="166">
        <v>80</v>
      </c>
      <c r="N55" s="166">
        <v>80</v>
      </c>
      <c r="O55" s="166">
        <v>80</v>
      </c>
      <c r="P55" s="167">
        <v>80</v>
      </c>
      <c r="Q55" s="166">
        <v>81</v>
      </c>
      <c r="R55" s="169">
        <v>81</v>
      </c>
      <c r="S55" s="169">
        <v>81</v>
      </c>
    </row>
    <row r="56" spans="1:19" s="18" customFormat="1" ht="14.1" customHeight="1">
      <c r="A56" s="22" t="s">
        <v>736</v>
      </c>
      <c r="B56" s="22" t="s">
        <v>780</v>
      </c>
      <c r="C56" s="14">
        <v>3</v>
      </c>
      <c r="D56" s="153" t="s">
        <v>784</v>
      </c>
      <c r="E56" s="149" t="s">
        <v>740</v>
      </c>
      <c r="F56" s="148">
        <v>0</v>
      </c>
      <c r="G56" s="154">
        <v>0</v>
      </c>
      <c r="H56" s="154">
        <v>0</v>
      </c>
      <c r="I56" s="154">
        <v>0</v>
      </c>
      <c r="J56" s="154">
        <v>0</v>
      </c>
      <c r="K56" s="168">
        <v>0</v>
      </c>
      <c r="L56" s="154">
        <v>15</v>
      </c>
      <c r="M56" s="166">
        <v>20</v>
      </c>
      <c r="N56" s="166">
        <v>25</v>
      </c>
      <c r="O56" s="166">
        <v>25</v>
      </c>
      <c r="P56" s="167">
        <v>25</v>
      </c>
      <c r="Q56" s="166">
        <v>27</v>
      </c>
      <c r="R56" s="169">
        <v>27</v>
      </c>
      <c r="S56" s="169">
        <v>27</v>
      </c>
    </row>
    <row r="57" spans="1:19" s="26" customFormat="1" ht="22.5" hidden="1">
      <c r="A57" s="22" t="s">
        <v>736</v>
      </c>
      <c r="B57" s="22" t="s">
        <v>780</v>
      </c>
      <c r="C57" s="11">
        <v>1</v>
      </c>
      <c r="D57" s="147" t="s">
        <v>785</v>
      </c>
      <c r="E57" s="11" t="s">
        <v>740</v>
      </c>
      <c r="F57" s="11">
        <v>0</v>
      </c>
      <c r="G57" s="35">
        <v>0</v>
      </c>
      <c r="H57" s="35">
        <v>0</v>
      </c>
      <c r="I57" s="35">
        <v>0</v>
      </c>
      <c r="J57" s="24">
        <v>0</v>
      </c>
      <c r="K57" s="30">
        <v>0</v>
      </c>
      <c r="L57" s="24">
        <v>0</v>
      </c>
      <c r="M57" s="24">
        <v>18</v>
      </c>
      <c r="N57" s="11">
        <v>19</v>
      </c>
      <c r="O57" s="37">
        <v>22.5</v>
      </c>
      <c r="P57" s="37">
        <v>24</v>
      </c>
      <c r="Q57" s="37">
        <v>25</v>
      </c>
      <c r="R57" s="38">
        <v>25</v>
      </c>
      <c r="S57" s="37"/>
    </row>
    <row r="58" spans="1:19" s="26" customFormat="1" ht="24" hidden="1" customHeight="1">
      <c r="A58" s="22" t="s">
        <v>736</v>
      </c>
      <c r="B58" s="22" t="s">
        <v>780</v>
      </c>
      <c r="C58" s="11">
        <v>2</v>
      </c>
      <c r="D58" s="12" t="s">
        <v>782</v>
      </c>
      <c r="E58" s="11" t="s">
        <v>740</v>
      </c>
      <c r="F58" s="11">
        <v>0</v>
      </c>
      <c r="G58" s="35">
        <v>0</v>
      </c>
      <c r="H58" s="35">
        <v>0</v>
      </c>
      <c r="I58" s="35">
        <v>0</v>
      </c>
      <c r="J58" s="24">
        <v>0</v>
      </c>
      <c r="K58" s="30">
        <v>0</v>
      </c>
      <c r="L58" s="24">
        <v>0</v>
      </c>
      <c r="M58" s="11">
        <v>100</v>
      </c>
      <c r="N58" s="11">
        <v>100</v>
      </c>
      <c r="O58" s="37">
        <v>100</v>
      </c>
      <c r="P58" s="37">
        <v>100</v>
      </c>
      <c r="Q58" s="37">
        <v>100</v>
      </c>
      <c r="R58" s="38">
        <v>100</v>
      </c>
      <c r="S58" s="37"/>
    </row>
    <row r="59" spans="1:19" s="26" customFormat="1" ht="33.75" hidden="1">
      <c r="A59" s="22" t="s">
        <v>736</v>
      </c>
      <c r="B59" s="22" t="s">
        <v>780</v>
      </c>
      <c r="C59" s="11">
        <v>3</v>
      </c>
      <c r="D59" s="12" t="s">
        <v>786</v>
      </c>
      <c r="E59" s="11" t="s">
        <v>740</v>
      </c>
      <c r="F59" s="11">
        <v>0</v>
      </c>
      <c r="G59" s="35">
        <v>0</v>
      </c>
      <c r="H59" s="35">
        <v>0</v>
      </c>
      <c r="I59" s="35">
        <v>0</v>
      </c>
      <c r="J59" s="24">
        <v>0</v>
      </c>
      <c r="K59" s="30">
        <v>0</v>
      </c>
      <c r="L59" s="24">
        <v>0</v>
      </c>
      <c r="M59" s="11">
        <v>1</v>
      </c>
      <c r="N59" s="11">
        <v>1</v>
      </c>
      <c r="O59" s="37">
        <v>1</v>
      </c>
      <c r="P59" s="37">
        <v>1</v>
      </c>
      <c r="Q59" s="37">
        <v>1</v>
      </c>
      <c r="R59" s="38">
        <v>1</v>
      </c>
      <c r="S59" s="37"/>
    </row>
    <row r="60" spans="1:19" s="26" customFormat="1" ht="33.75" hidden="1">
      <c r="A60" s="45" t="s">
        <v>736</v>
      </c>
      <c r="B60" s="45" t="s">
        <v>780</v>
      </c>
      <c r="C60" s="13">
        <v>4</v>
      </c>
      <c r="D60" s="12" t="s">
        <v>787</v>
      </c>
      <c r="E60" s="13" t="s">
        <v>740</v>
      </c>
      <c r="F60" s="11">
        <v>0</v>
      </c>
      <c r="G60" s="35">
        <v>0</v>
      </c>
      <c r="H60" s="35">
        <v>0</v>
      </c>
      <c r="I60" s="35">
        <v>0</v>
      </c>
      <c r="J60" s="24">
        <v>0</v>
      </c>
      <c r="K60" s="30">
        <v>100</v>
      </c>
      <c r="L60" s="24">
        <v>100</v>
      </c>
      <c r="M60" s="11">
        <v>100</v>
      </c>
      <c r="N60" s="11">
        <v>100</v>
      </c>
      <c r="O60" s="37">
        <v>100</v>
      </c>
      <c r="P60" s="37">
        <v>100</v>
      </c>
      <c r="Q60" s="37">
        <v>100</v>
      </c>
      <c r="R60" s="38">
        <v>100</v>
      </c>
      <c r="S60" s="37"/>
    </row>
    <row r="61" spans="1:19" s="26" customFormat="1" ht="22.5" hidden="1">
      <c r="A61" s="45" t="s">
        <v>736</v>
      </c>
      <c r="B61" s="45" t="s">
        <v>780</v>
      </c>
      <c r="C61" s="13">
        <v>5</v>
      </c>
      <c r="D61" s="12" t="s">
        <v>788</v>
      </c>
      <c r="E61" s="13" t="s">
        <v>740</v>
      </c>
      <c r="F61" s="11">
        <v>0</v>
      </c>
      <c r="G61" s="35">
        <v>0</v>
      </c>
      <c r="H61" s="35">
        <v>0</v>
      </c>
      <c r="I61" s="35">
        <v>0</v>
      </c>
      <c r="J61" s="24">
        <v>0</v>
      </c>
      <c r="K61" s="46" t="s">
        <v>789</v>
      </c>
      <c r="L61" s="46" t="s">
        <v>789</v>
      </c>
      <c r="M61" s="46" t="s">
        <v>789</v>
      </c>
      <c r="N61" s="46" t="s">
        <v>789</v>
      </c>
      <c r="O61" s="46" t="s">
        <v>789</v>
      </c>
      <c r="P61" s="46" t="s">
        <v>789</v>
      </c>
      <c r="Q61" s="46" t="s">
        <v>789</v>
      </c>
      <c r="R61" s="47" t="s">
        <v>789</v>
      </c>
      <c r="S61" s="46"/>
    </row>
    <row r="62" spans="1:19" s="26" customFormat="1" ht="33.75" hidden="1">
      <c r="A62" s="22" t="s">
        <v>736</v>
      </c>
      <c r="B62" s="22" t="s">
        <v>780</v>
      </c>
      <c r="C62" s="11">
        <v>6</v>
      </c>
      <c r="D62" s="12" t="s">
        <v>790</v>
      </c>
      <c r="E62" s="13" t="s">
        <v>740</v>
      </c>
      <c r="F62" s="11">
        <v>0</v>
      </c>
      <c r="G62" s="35">
        <v>0</v>
      </c>
      <c r="H62" s="35">
        <v>0</v>
      </c>
      <c r="I62" s="35">
        <v>0</v>
      </c>
      <c r="J62" s="24">
        <v>0</v>
      </c>
      <c r="K62" s="46">
        <v>0</v>
      </c>
      <c r="L62" s="46">
        <v>0</v>
      </c>
      <c r="M62" s="46"/>
      <c r="N62" s="46"/>
      <c r="O62" s="46"/>
      <c r="P62" s="46"/>
      <c r="Q62" s="46"/>
      <c r="R62" s="42"/>
      <c r="S62" s="28"/>
    </row>
    <row r="63" spans="1:19" s="26" customFormat="1" hidden="1">
      <c r="A63" s="22"/>
      <c r="B63" s="22"/>
      <c r="C63" s="11"/>
      <c r="D63" s="12" t="s">
        <v>791</v>
      </c>
      <c r="E63" s="13"/>
      <c r="F63" s="11">
        <v>0</v>
      </c>
      <c r="G63" s="35">
        <v>0</v>
      </c>
      <c r="H63" s="35">
        <v>0</v>
      </c>
      <c r="I63" s="35">
        <v>0</v>
      </c>
      <c r="J63" s="24">
        <v>0</v>
      </c>
      <c r="K63" s="46">
        <v>0</v>
      </c>
      <c r="L63" s="46">
        <v>0</v>
      </c>
      <c r="M63" s="48">
        <v>0.5</v>
      </c>
      <c r="N63" s="48">
        <v>0.49</v>
      </c>
      <c r="O63" s="48">
        <v>0.45</v>
      </c>
      <c r="P63" s="48">
        <v>0.39</v>
      </c>
      <c r="Q63" s="48">
        <v>0.33</v>
      </c>
      <c r="R63" s="49">
        <v>0.3</v>
      </c>
      <c r="S63" s="48"/>
    </row>
    <row r="64" spans="1:19" s="26" customFormat="1" hidden="1">
      <c r="A64" s="22"/>
      <c r="B64" s="22"/>
      <c r="C64" s="11"/>
      <c r="D64" s="12" t="s">
        <v>792</v>
      </c>
      <c r="E64" s="13"/>
      <c r="F64" s="11">
        <v>0</v>
      </c>
      <c r="G64" s="35">
        <v>0</v>
      </c>
      <c r="H64" s="35">
        <v>0</v>
      </c>
      <c r="I64" s="35">
        <v>0</v>
      </c>
      <c r="J64" s="24">
        <v>0</v>
      </c>
      <c r="K64" s="46">
        <v>0</v>
      </c>
      <c r="L64" s="46">
        <v>0</v>
      </c>
      <c r="M64" s="48">
        <v>0.38</v>
      </c>
      <c r="N64" s="48">
        <v>0.37</v>
      </c>
      <c r="O64" s="48">
        <v>0.33</v>
      </c>
      <c r="P64" s="48">
        <v>0.28000000000000003</v>
      </c>
      <c r="Q64" s="48">
        <v>0.25</v>
      </c>
      <c r="R64" s="49">
        <v>0.23</v>
      </c>
      <c r="S64" s="48"/>
    </row>
    <row r="65" spans="1:19" s="26" customFormat="1" hidden="1">
      <c r="A65" s="22"/>
      <c r="B65" s="22"/>
      <c r="C65" s="11"/>
      <c r="D65" s="12" t="s">
        <v>793</v>
      </c>
      <c r="E65" s="13"/>
      <c r="F65" s="11">
        <v>0</v>
      </c>
      <c r="G65" s="35">
        <v>0</v>
      </c>
      <c r="H65" s="35">
        <v>0</v>
      </c>
      <c r="I65" s="35">
        <v>0</v>
      </c>
      <c r="J65" s="24">
        <v>0</v>
      </c>
      <c r="K65" s="46">
        <v>0</v>
      </c>
      <c r="L65" s="46">
        <v>0</v>
      </c>
      <c r="M65" s="48">
        <v>0.89</v>
      </c>
      <c r="N65" s="48">
        <v>0.85</v>
      </c>
      <c r="O65" s="48">
        <v>0.8</v>
      </c>
      <c r="P65" s="48">
        <v>0.77</v>
      </c>
      <c r="Q65" s="48">
        <v>0.7</v>
      </c>
      <c r="R65" s="49">
        <v>0.65</v>
      </c>
      <c r="S65" s="48"/>
    </row>
    <row r="66" spans="1:19" s="26" customFormat="1" ht="22.5" hidden="1">
      <c r="A66" s="45" t="s">
        <v>736</v>
      </c>
      <c r="B66" s="45" t="s">
        <v>780</v>
      </c>
      <c r="C66" s="13">
        <v>7</v>
      </c>
      <c r="D66" s="12" t="s">
        <v>794</v>
      </c>
      <c r="E66" s="13" t="s">
        <v>740</v>
      </c>
      <c r="F66" s="11">
        <v>0</v>
      </c>
      <c r="G66" s="35">
        <v>0</v>
      </c>
      <c r="H66" s="35">
        <v>0</v>
      </c>
      <c r="I66" s="35">
        <v>0</v>
      </c>
      <c r="J66" s="24">
        <v>0</v>
      </c>
      <c r="K66" s="46">
        <v>0</v>
      </c>
      <c r="L66" s="46">
        <v>0</v>
      </c>
      <c r="M66" s="48">
        <v>50</v>
      </c>
      <c r="N66" s="48">
        <v>50.5</v>
      </c>
      <c r="O66" s="48">
        <v>51</v>
      </c>
      <c r="P66" s="48">
        <v>51</v>
      </c>
      <c r="Q66" s="48">
        <v>51</v>
      </c>
      <c r="R66" s="49">
        <v>51</v>
      </c>
      <c r="S66" s="48"/>
    </row>
    <row r="67" spans="1:19" s="26" customFormat="1" ht="36.75" hidden="1" customHeight="1">
      <c r="A67" s="45" t="s">
        <v>736</v>
      </c>
      <c r="B67" s="45" t="s">
        <v>780</v>
      </c>
      <c r="C67" s="13">
        <v>8</v>
      </c>
      <c r="D67" s="12" t="s">
        <v>795</v>
      </c>
      <c r="E67" s="13" t="s">
        <v>749</v>
      </c>
      <c r="F67" s="11">
        <v>0</v>
      </c>
      <c r="G67" s="35">
        <v>0</v>
      </c>
      <c r="H67" s="35">
        <v>0</v>
      </c>
      <c r="I67" s="35">
        <v>0</v>
      </c>
      <c r="J67" s="24">
        <v>0</v>
      </c>
      <c r="K67" s="46">
        <v>0</v>
      </c>
      <c r="L67" s="46">
        <v>0</v>
      </c>
      <c r="M67" s="46">
        <v>993</v>
      </c>
      <c r="N67" s="46">
        <v>1858</v>
      </c>
      <c r="O67" s="46">
        <v>1830</v>
      </c>
      <c r="P67" s="46">
        <v>1794</v>
      </c>
      <c r="Q67" s="46">
        <v>2003</v>
      </c>
      <c r="R67" s="47">
        <v>2003</v>
      </c>
      <c r="S67" s="46"/>
    </row>
    <row r="68" spans="1:19" s="26" customFormat="1" ht="45" hidden="1">
      <c r="A68" s="45" t="s">
        <v>736</v>
      </c>
      <c r="B68" s="45" t="s">
        <v>780</v>
      </c>
      <c r="C68" s="13">
        <v>9</v>
      </c>
      <c r="D68" s="12" t="s">
        <v>796</v>
      </c>
      <c r="E68" s="13" t="s">
        <v>749</v>
      </c>
      <c r="F68" s="11">
        <v>0</v>
      </c>
      <c r="G68" s="35">
        <v>0</v>
      </c>
      <c r="H68" s="35">
        <v>0</v>
      </c>
      <c r="I68" s="35">
        <v>0</v>
      </c>
      <c r="J68" s="24">
        <v>0</v>
      </c>
      <c r="K68" s="46">
        <v>0</v>
      </c>
      <c r="L68" s="46">
        <v>0</v>
      </c>
      <c r="M68" s="48">
        <v>0</v>
      </c>
      <c r="N68" s="48">
        <v>0</v>
      </c>
      <c r="O68" s="48">
        <v>0</v>
      </c>
      <c r="P68" s="48">
        <v>0</v>
      </c>
      <c r="Q68" s="48">
        <v>0</v>
      </c>
      <c r="R68" s="49">
        <v>0</v>
      </c>
      <c r="S68" s="48"/>
    </row>
    <row r="69" spans="1:19" s="26" customFormat="1" ht="33.75" hidden="1">
      <c r="A69" s="22" t="s">
        <v>736</v>
      </c>
      <c r="B69" s="22" t="s">
        <v>780</v>
      </c>
      <c r="C69" s="11">
        <v>10</v>
      </c>
      <c r="D69" s="12" t="s">
        <v>797</v>
      </c>
      <c r="E69" s="11" t="s">
        <v>740</v>
      </c>
      <c r="F69" s="11">
        <v>54.7</v>
      </c>
      <c r="G69" s="35">
        <v>60</v>
      </c>
      <c r="H69" s="35">
        <v>65.7</v>
      </c>
      <c r="I69" s="35">
        <v>67.5</v>
      </c>
      <c r="J69" s="24">
        <v>68</v>
      </c>
      <c r="K69" s="30">
        <v>70</v>
      </c>
      <c r="L69" s="24">
        <v>72</v>
      </c>
      <c r="M69" s="24">
        <v>75</v>
      </c>
      <c r="N69" s="23">
        <v>77</v>
      </c>
      <c r="O69" s="23"/>
      <c r="P69" s="23"/>
      <c r="Q69" s="23"/>
      <c r="R69" s="42"/>
      <c r="S69" s="28"/>
    </row>
    <row r="70" spans="1:19" s="26" customFormat="1" ht="45" hidden="1">
      <c r="A70" s="22"/>
      <c r="B70" s="22"/>
      <c r="C70" s="11"/>
      <c r="D70" s="12" t="s">
        <v>798</v>
      </c>
      <c r="E70" s="11" t="s">
        <v>740</v>
      </c>
      <c r="F70" s="11">
        <v>0</v>
      </c>
      <c r="G70" s="24">
        <v>0</v>
      </c>
      <c r="H70" s="24">
        <v>1.1000000000000001</v>
      </c>
      <c r="I70" s="24">
        <v>2.2000000000000002</v>
      </c>
      <c r="J70" s="24">
        <v>2.2000000000000002</v>
      </c>
      <c r="K70" s="30">
        <v>3.3</v>
      </c>
      <c r="L70" s="24">
        <v>3.3</v>
      </c>
      <c r="M70" s="24">
        <v>8.8000000000000007</v>
      </c>
      <c r="N70" s="23">
        <v>10</v>
      </c>
      <c r="O70" s="37"/>
      <c r="P70" s="37"/>
      <c r="Q70" s="37"/>
      <c r="R70" s="42"/>
      <c r="S70" s="28"/>
    </row>
    <row r="71" spans="1:19" s="26" customFormat="1" ht="33.75" hidden="1">
      <c r="A71" s="22"/>
      <c r="B71" s="22"/>
      <c r="C71" s="11"/>
      <c r="D71" s="12" t="s">
        <v>799</v>
      </c>
      <c r="E71" s="11" t="s">
        <v>740</v>
      </c>
      <c r="F71" s="11">
        <v>37.4</v>
      </c>
      <c r="G71" s="24">
        <v>33.799999999999997</v>
      </c>
      <c r="H71" s="24" t="s">
        <v>800</v>
      </c>
      <c r="I71" s="24" t="s">
        <v>800</v>
      </c>
      <c r="J71" s="24" t="s">
        <v>800</v>
      </c>
      <c r="K71" s="30" t="s">
        <v>801</v>
      </c>
      <c r="L71" s="24" t="s">
        <v>800</v>
      </c>
      <c r="M71" s="24" t="s">
        <v>800</v>
      </c>
      <c r="N71" s="24" t="s">
        <v>800</v>
      </c>
      <c r="O71" s="24"/>
      <c r="P71" s="24"/>
      <c r="Q71" s="24"/>
      <c r="R71" s="42"/>
      <c r="S71" s="28"/>
    </row>
    <row r="72" spans="1:19" s="26" customFormat="1" ht="33.75" hidden="1">
      <c r="A72" s="22"/>
      <c r="B72" s="22"/>
      <c r="C72" s="11"/>
      <c r="D72" s="12" t="s">
        <v>802</v>
      </c>
      <c r="E72" s="11" t="s">
        <v>740</v>
      </c>
      <c r="F72" s="11">
        <v>0</v>
      </c>
      <c r="G72" s="24">
        <v>0</v>
      </c>
      <c r="H72" s="24">
        <v>0</v>
      </c>
      <c r="I72" s="24">
        <v>0</v>
      </c>
      <c r="J72" s="24">
        <v>0</v>
      </c>
      <c r="K72" s="30">
        <v>0</v>
      </c>
      <c r="L72" s="24">
        <v>0</v>
      </c>
      <c r="M72" s="24">
        <v>0</v>
      </c>
      <c r="N72" s="24">
        <v>0</v>
      </c>
      <c r="O72" s="37"/>
      <c r="P72" s="37"/>
      <c r="Q72" s="37"/>
      <c r="R72" s="42"/>
      <c r="S72" s="28"/>
    </row>
    <row r="73" spans="1:19" s="18" customFormat="1" ht="14.1" customHeight="1">
      <c r="A73" s="19" t="s">
        <v>736</v>
      </c>
      <c r="B73" s="19" t="s">
        <v>803</v>
      </c>
      <c r="C73" s="20"/>
      <c r="D73" s="483" t="s">
        <v>804</v>
      </c>
      <c r="E73" s="484"/>
      <c r="F73" s="484"/>
      <c r="G73" s="484"/>
      <c r="H73" s="484"/>
      <c r="I73" s="484"/>
      <c r="J73" s="484"/>
      <c r="K73" s="484"/>
      <c r="L73" s="484"/>
      <c r="M73" s="484"/>
      <c r="N73" s="484"/>
      <c r="O73" s="484"/>
      <c r="P73" s="484"/>
      <c r="Q73" s="484"/>
      <c r="R73" s="484"/>
      <c r="S73" s="485"/>
    </row>
    <row r="74" spans="1:19" s="26" customFormat="1" ht="24" customHeight="1">
      <c r="A74" s="22" t="s">
        <v>736</v>
      </c>
      <c r="B74" s="22" t="s">
        <v>803</v>
      </c>
      <c r="C74" s="11">
        <v>1</v>
      </c>
      <c r="D74" s="12" t="s">
        <v>805</v>
      </c>
      <c r="E74" s="148" t="s">
        <v>740</v>
      </c>
      <c r="F74" s="154">
        <v>1500</v>
      </c>
      <c r="G74" s="154">
        <v>1500</v>
      </c>
      <c r="H74" s="154">
        <v>1500</v>
      </c>
      <c r="I74" s="154">
        <v>2040</v>
      </c>
      <c r="J74" s="154">
        <v>2040</v>
      </c>
      <c r="K74" s="154">
        <v>1590</v>
      </c>
      <c r="L74" s="154"/>
      <c r="M74" s="148">
        <v>31</v>
      </c>
      <c r="N74" s="148">
        <v>32</v>
      </c>
      <c r="O74" s="148">
        <v>33</v>
      </c>
      <c r="P74" s="171">
        <v>34</v>
      </c>
      <c r="Q74" s="148">
        <v>35</v>
      </c>
      <c r="R74" s="156">
        <v>36</v>
      </c>
      <c r="S74" s="156">
        <v>37</v>
      </c>
    </row>
    <row r="75" spans="1:19" s="26" customFormat="1" ht="22.5">
      <c r="A75" s="22" t="s">
        <v>736</v>
      </c>
      <c r="B75" s="22" t="s">
        <v>803</v>
      </c>
      <c r="C75" s="11">
        <v>2</v>
      </c>
      <c r="D75" s="12" t="s">
        <v>806</v>
      </c>
      <c r="E75" s="148" t="s">
        <v>740</v>
      </c>
      <c r="F75" s="148">
        <v>35</v>
      </c>
      <c r="G75" s="154">
        <v>35</v>
      </c>
      <c r="H75" s="154">
        <v>65</v>
      </c>
      <c r="I75" s="154">
        <v>40</v>
      </c>
      <c r="J75" s="154">
        <v>40</v>
      </c>
      <c r="K75" s="154">
        <v>40</v>
      </c>
      <c r="L75" s="154"/>
      <c r="M75" s="154">
        <v>35</v>
      </c>
      <c r="N75" s="154">
        <v>37</v>
      </c>
      <c r="O75" s="154">
        <v>38</v>
      </c>
      <c r="P75" s="155">
        <v>38</v>
      </c>
      <c r="Q75" s="154">
        <v>39</v>
      </c>
      <c r="R75" s="156">
        <v>40</v>
      </c>
      <c r="S75" s="156">
        <v>41</v>
      </c>
    </row>
    <row r="76" spans="1:19" s="26" customFormat="1" ht="22.5">
      <c r="A76" s="22" t="s">
        <v>736</v>
      </c>
      <c r="B76" s="22" t="s">
        <v>803</v>
      </c>
      <c r="C76" s="11">
        <v>3</v>
      </c>
      <c r="D76" s="12" t="s">
        <v>807</v>
      </c>
      <c r="E76" s="148" t="s">
        <v>740</v>
      </c>
      <c r="F76" s="148">
        <v>0</v>
      </c>
      <c r="G76" s="154">
        <v>0</v>
      </c>
      <c r="H76" s="154">
        <v>0</v>
      </c>
      <c r="I76" s="154">
        <v>0</v>
      </c>
      <c r="J76" s="154">
        <v>0</v>
      </c>
      <c r="K76" s="154">
        <v>0</v>
      </c>
      <c r="L76" s="154"/>
      <c r="M76" s="154">
        <v>28</v>
      </c>
      <c r="N76" s="154">
        <v>30</v>
      </c>
      <c r="O76" s="154">
        <v>35</v>
      </c>
      <c r="P76" s="155">
        <v>40</v>
      </c>
      <c r="Q76" s="154">
        <v>40</v>
      </c>
      <c r="R76" s="156">
        <v>41</v>
      </c>
      <c r="S76" s="156">
        <v>42</v>
      </c>
    </row>
    <row r="77" spans="1:19" s="26" customFormat="1" ht="45">
      <c r="A77" s="22" t="s">
        <v>736</v>
      </c>
      <c r="B77" s="22" t="s">
        <v>803</v>
      </c>
      <c r="C77" s="11">
        <v>4</v>
      </c>
      <c r="D77" s="12" t="s">
        <v>808</v>
      </c>
      <c r="E77" s="148" t="s">
        <v>749</v>
      </c>
      <c r="F77" s="148">
        <v>210</v>
      </c>
      <c r="G77" s="154">
        <v>150</v>
      </c>
      <c r="H77" s="154">
        <v>101</v>
      </c>
      <c r="I77" s="154">
        <v>109</v>
      </c>
      <c r="J77" s="154">
        <v>72</v>
      </c>
      <c r="K77" s="154">
        <v>112</v>
      </c>
      <c r="L77" s="154"/>
      <c r="M77" s="154">
        <v>450</v>
      </c>
      <c r="N77" s="154">
        <v>500</v>
      </c>
      <c r="O77" s="154">
        <v>520</v>
      </c>
      <c r="P77" s="155">
        <v>550</v>
      </c>
      <c r="Q77" s="154">
        <v>560</v>
      </c>
      <c r="R77" s="156">
        <v>565</v>
      </c>
      <c r="S77" s="156">
        <v>565</v>
      </c>
    </row>
    <row r="78" spans="1:19" s="26" customFormat="1">
      <c r="A78" s="22" t="s">
        <v>736</v>
      </c>
      <c r="B78" s="22" t="s">
        <v>803</v>
      </c>
      <c r="C78" s="11">
        <v>5</v>
      </c>
      <c r="D78" s="12" t="s">
        <v>809</v>
      </c>
      <c r="E78" s="148" t="s">
        <v>740</v>
      </c>
      <c r="F78" s="148">
        <v>0</v>
      </c>
      <c r="G78" s="154">
        <v>0</v>
      </c>
      <c r="H78" s="154">
        <v>0</v>
      </c>
      <c r="I78" s="154">
        <v>0</v>
      </c>
      <c r="J78" s="154">
        <v>0</v>
      </c>
      <c r="K78" s="154">
        <v>0</v>
      </c>
      <c r="L78" s="154"/>
      <c r="M78" s="154">
        <v>2</v>
      </c>
      <c r="N78" s="154">
        <v>3</v>
      </c>
      <c r="O78" s="154">
        <v>4</v>
      </c>
      <c r="P78" s="155">
        <v>5</v>
      </c>
      <c r="Q78" s="154">
        <v>5</v>
      </c>
      <c r="R78" s="156">
        <v>6</v>
      </c>
      <c r="S78" s="156">
        <v>7</v>
      </c>
    </row>
    <row r="79" spans="1:19" ht="13.5" customHeight="1">
      <c r="A79" s="19" t="s">
        <v>736</v>
      </c>
      <c r="B79" s="19" t="s">
        <v>810</v>
      </c>
      <c r="C79" s="50"/>
      <c r="D79" s="483" t="s">
        <v>811</v>
      </c>
      <c r="E79" s="484"/>
      <c r="F79" s="484"/>
      <c r="G79" s="484"/>
      <c r="H79" s="484"/>
      <c r="I79" s="484"/>
      <c r="J79" s="484"/>
      <c r="K79" s="484"/>
      <c r="L79" s="484"/>
      <c r="M79" s="484"/>
      <c r="N79" s="484"/>
      <c r="O79" s="484"/>
      <c r="P79" s="484"/>
      <c r="Q79" s="484"/>
      <c r="R79" s="484"/>
      <c r="S79" s="485"/>
    </row>
    <row r="80" spans="1:19" s="26" customFormat="1" ht="33.75">
      <c r="A80" s="22" t="s">
        <v>736</v>
      </c>
      <c r="B80" s="22" t="s">
        <v>810</v>
      </c>
      <c r="C80" s="11">
        <v>1</v>
      </c>
      <c r="D80" s="12" t="s">
        <v>812</v>
      </c>
      <c r="E80" s="148" t="s">
        <v>740</v>
      </c>
      <c r="F80" s="158">
        <v>78</v>
      </c>
      <c r="G80" s="154">
        <v>79.7</v>
      </c>
      <c r="H80" s="154">
        <v>80</v>
      </c>
      <c r="I80" s="154">
        <v>80.2</v>
      </c>
      <c r="J80" s="154">
        <v>80.5</v>
      </c>
      <c r="K80" s="168">
        <v>80.7</v>
      </c>
      <c r="L80" s="154">
        <v>81</v>
      </c>
      <c r="M80" s="166">
        <v>81.8</v>
      </c>
      <c r="N80" s="166">
        <v>82.2</v>
      </c>
      <c r="O80" s="166">
        <v>82.6</v>
      </c>
      <c r="P80" s="172">
        <v>82.8</v>
      </c>
      <c r="Q80" s="172">
        <v>82.8</v>
      </c>
      <c r="R80" s="156">
        <v>80</v>
      </c>
      <c r="S80" s="156">
        <v>80</v>
      </c>
    </row>
    <row r="81" spans="1:19" s="26" customFormat="1" ht="45">
      <c r="A81" s="22" t="s">
        <v>736</v>
      </c>
      <c r="B81" s="22" t="s">
        <v>810</v>
      </c>
      <c r="C81" s="11">
        <v>2</v>
      </c>
      <c r="D81" s="12" t="s">
        <v>813</v>
      </c>
      <c r="E81" s="148" t="s">
        <v>740</v>
      </c>
      <c r="F81" s="158">
        <v>51</v>
      </c>
      <c r="G81" s="154">
        <v>53</v>
      </c>
      <c r="H81" s="154">
        <v>53.5</v>
      </c>
      <c r="I81" s="154">
        <v>53.8</v>
      </c>
      <c r="J81" s="154">
        <v>54</v>
      </c>
      <c r="K81" s="168">
        <v>54.2</v>
      </c>
      <c r="L81" s="154">
        <v>54.6</v>
      </c>
      <c r="M81" s="166">
        <v>57</v>
      </c>
      <c r="N81" s="166">
        <v>58</v>
      </c>
      <c r="O81" s="166">
        <v>50</v>
      </c>
      <c r="P81" s="172">
        <v>50</v>
      </c>
      <c r="Q81" s="172">
        <v>50</v>
      </c>
      <c r="R81" s="156">
        <v>50</v>
      </c>
      <c r="S81" s="156">
        <v>50</v>
      </c>
    </row>
    <row r="82" spans="1:19" s="26" customFormat="1" ht="45">
      <c r="A82" s="22" t="s">
        <v>736</v>
      </c>
      <c r="B82" s="22" t="s">
        <v>810</v>
      </c>
      <c r="C82" s="11">
        <v>3</v>
      </c>
      <c r="D82" s="51" t="s">
        <v>814</v>
      </c>
      <c r="E82" s="148" t="s">
        <v>740</v>
      </c>
      <c r="F82" s="158">
        <v>51</v>
      </c>
      <c r="G82" s="154">
        <v>53</v>
      </c>
      <c r="H82" s="154">
        <v>53.5</v>
      </c>
      <c r="I82" s="154">
        <v>53.8</v>
      </c>
      <c r="J82" s="154">
        <v>54</v>
      </c>
      <c r="K82" s="168">
        <v>54.2</v>
      </c>
      <c r="L82" s="154">
        <v>50</v>
      </c>
      <c r="M82" s="166">
        <v>53</v>
      </c>
      <c r="N82" s="166">
        <v>54</v>
      </c>
      <c r="O82" s="166">
        <v>43</v>
      </c>
      <c r="P82" s="172">
        <v>45</v>
      </c>
      <c r="Q82" s="172">
        <v>45</v>
      </c>
      <c r="R82" s="156">
        <v>45</v>
      </c>
      <c r="S82" s="156">
        <v>45</v>
      </c>
    </row>
    <row r="83" spans="1:19" s="52" customFormat="1" ht="14.1" customHeight="1">
      <c r="A83" s="19" t="s">
        <v>736</v>
      </c>
      <c r="B83" s="19" t="s">
        <v>815</v>
      </c>
      <c r="C83" s="20"/>
      <c r="D83" s="483" t="s">
        <v>816</v>
      </c>
      <c r="E83" s="484"/>
      <c r="F83" s="484"/>
      <c r="G83" s="484"/>
      <c r="H83" s="484"/>
      <c r="I83" s="484"/>
      <c r="J83" s="484"/>
      <c r="K83" s="484"/>
      <c r="L83" s="484"/>
      <c r="M83" s="484"/>
      <c r="N83" s="484"/>
      <c r="O83" s="484"/>
      <c r="P83" s="484"/>
      <c r="Q83" s="484"/>
      <c r="R83" s="484"/>
      <c r="S83" s="485"/>
    </row>
    <row r="84" spans="1:19" s="1" customFormat="1" ht="33.75" hidden="1">
      <c r="A84" s="22" t="s">
        <v>736</v>
      </c>
      <c r="B84" s="22" t="s">
        <v>815</v>
      </c>
      <c r="C84" s="11">
        <v>1</v>
      </c>
      <c r="D84" s="12" t="s">
        <v>817</v>
      </c>
      <c r="E84" s="11" t="s">
        <v>740</v>
      </c>
      <c r="F84" s="23">
        <v>20.2</v>
      </c>
      <c r="G84" s="24">
        <v>21</v>
      </c>
      <c r="H84" s="24">
        <v>21.3</v>
      </c>
      <c r="I84" s="24">
        <v>21.7</v>
      </c>
      <c r="J84" s="24">
        <v>22.3</v>
      </c>
      <c r="K84" s="30" t="s">
        <v>818</v>
      </c>
      <c r="L84" s="24" t="s">
        <v>818</v>
      </c>
      <c r="M84" s="24" t="s">
        <v>818</v>
      </c>
      <c r="N84" s="30" t="s">
        <v>818</v>
      </c>
      <c r="O84" s="30" t="s">
        <v>818</v>
      </c>
      <c r="P84" s="30" t="s">
        <v>818</v>
      </c>
      <c r="Q84" s="30" t="s">
        <v>818</v>
      </c>
      <c r="R84" s="31" t="s">
        <v>818</v>
      </c>
      <c r="S84" s="30"/>
    </row>
    <row r="85" spans="1:19" s="1" customFormat="1" ht="45" hidden="1">
      <c r="A85" s="22" t="s">
        <v>736</v>
      </c>
      <c r="B85" s="22" t="s">
        <v>815</v>
      </c>
      <c r="C85" s="11">
        <v>2</v>
      </c>
      <c r="D85" s="12" t="s">
        <v>819</v>
      </c>
      <c r="E85" s="11" t="s">
        <v>740</v>
      </c>
      <c r="F85" s="23"/>
      <c r="G85" s="24"/>
      <c r="H85" s="24"/>
      <c r="I85" s="24">
        <v>15.8</v>
      </c>
      <c r="J85" s="24">
        <v>24.3</v>
      </c>
      <c r="K85" s="30">
        <v>27.6</v>
      </c>
      <c r="L85" s="24">
        <v>36.299999999999997</v>
      </c>
      <c r="M85" s="24">
        <v>45.7</v>
      </c>
      <c r="N85" s="30">
        <v>50</v>
      </c>
      <c r="O85" s="30">
        <v>60</v>
      </c>
      <c r="P85" s="30">
        <v>80</v>
      </c>
      <c r="Q85" s="30">
        <v>100</v>
      </c>
      <c r="R85" s="31">
        <v>100</v>
      </c>
      <c r="S85" s="30"/>
    </row>
    <row r="86" spans="1:19" s="26" customFormat="1" ht="45">
      <c r="A86" s="22" t="s">
        <v>736</v>
      </c>
      <c r="B86" s="22" t="s">
        <v>815</v>
      </c>
      <c r="C86" s="11">
        <v>1</v>
      </c>
      <c r="D86" s="12" t="s">
        <v>820</v>
      </c>
      <c r="E86" s="11" t="s">
        <v>740</v>
      </c>
      <c r="F86" s="23">
        <v>71.2</v>
      </c>
      <c r="G86" s="24">
        <v>72.2</v>
      </c>
      <c r="H86" s="24">
        <v>73.099999999999994</v>
      </c>
      <c r="I86" s="24">
        <v>79.7</v>
      </c>
      <c r="J86" s="24">
        <v>83.6</v>
      </c>
      <c r="K86" s="30">
        <v>74</v>
      </c>
      <c r="L86" s="24">
        <v>74.2</v>
      </c>
      <c r="M86" s="168">
        <v>73</v>
      </c>
      <c r="N86" s="168">
        <v>74</v>
      </c>
      <c r="O86" s="168">
        <v>75</v>
      </c>
      <c r="P86" s="173">
        <v>76</v>
      </c>
      <c r="Q86" s="173">
        <v>76</v>
      </c>
      <c r="R86" s="174">
        <v>76.5</v>
      </c>
      <c r="S86" s="174">
        <v>77</v>
      </c>
    </row>
    <row r="87" spans="1:19" s="26" customFormat="1" ht="22.5">
      <c r="A87" s="22" t="s">
        <v>736</v>
      </c>
      <c r="B87" s="22" t="s">
        <v>815</v>
      </c>
      <c r="C87" s="11">
        <v>2</v>
      </c>
      <c r="D87" s="12" t="s">
        <v>821</v>
      </c>
      <c r="E87" s="11" t="s">
        <v>740</v>
      </c>
      <c r="F87" s="23">
        <v>99.1</v>
      </c>
      <c r="G87" s="24">
        <v>99.3</v>
      </c>
      <c r="H87" s="24">
        <v>99.5</v>
      </c>
      <c r="I87" s="24">
        <v>99.6</v>
      </c>
      <c r="J87" s="24">
        <v>98.7</v>
      </c>
      <c r="K87" s="30">
        <v>99.6</v>
      </c>
      <c r="L87" s="24">
        <v>99.7</v>
      </c>
      <c r="M87" s="168">
        <v>99.5</v>
      </c>
      <c r="N87" s="168">
        <v>99.6</v>
      </c>
      <c r="O87" s="168">
        <v>99.7</v>
      </c>
      <c r="P87" s="173">
        <v>99.7</v>
      </c>
      <c r="Q87" s="173">
        <v>99.7</v>
      </c>
      <c r="R87" s="174">
        <v>99.7</v>
      </c>
      <c r="S87" s="174">
        <v>99.7</v>
      </c>
    </row>
    <row r="88" spans="1:19" s="26" customFormat="1" ht="24" customHeight="1">
      <c r="A88" s="22" t="s">
        <v>736</v>
      </c>
      <c r="B88" s="22" t="s">
        <v>815</v>
      </c>
      <c r="C88" s="11">
        <v>3</v>
      </c>
      <c r="D88" s="12" t="s">
        <v>822</v>
      </c>
      <c r="E88" s="11" t="s">
        <v>740</v>
      </c>
      <c r="F88" s="23"/>
      <c r="G88" s="24"/>
      <c r="H88" s="24">
        <v>45</v>
      </c>
      <c r="I88" s="24">
        <v>63</v>
      </c>
      <c r="J88" s="24">
        <v>74</v>
      </c>
      <c r="K88" s="30">
        <v>84</v>
      </c>
      <c r="L88" s="24">
        <v>98</v>
      </c>
      <c r="M88" s="175">
        <v>45</v>
      </c>
      <c r="N88" s="175">
        <v>63</v>
      </c>
      <c r="O88" s="175">
        <v>74</v>
      </c>
      <c r="P88" s="176">
        <v>84</v>
      </c>
      <c r="Q88" s="176">
        <v>84</v>
      </c>
      <c r="R88" s="174">
        <v>84</v>
      </c>
      <c r="S88" s="174">
        <v>84</v>
      </c>
    </row>
    <row r="89" spans="1:19" ht="22.5">
      <c r="A89" s="22" t="s">
        <v>736</v>
      </c>
      <c r="B89" s="22" t="s">
        <v>815</v>
      </c>
      <c r="C89" s="11">
        <v>4</v>
      </c>
      <c r="D89" s="12" t="s">
        <v>823</v>
      </c>
      <c r="E89" s="11" t="s">
        <v>740</v>
      </c>
      <c r="F89" s="23">
        <v>10.9</v>
      </c>
      <c r="G89" s="24">
        <v>12</v>
      </c>
      <c r="H89" s="24">
        <v>12.9</v>
      </c>
      <c r="I89" s="24">
        <v>13.4</v>
      </c>
      <c r="J89" s="24">
        <v>14.1</v>
      </c>
      <c r="K89" s="30">
        <v>13.2</v>
      </c>
      <c r="L89" s="24">
        <v>13.3</v>
      </c>
      <c r="M89" s="168">
        <v>22.8</v>
      </c>
      <c r="N89" s="168">
        <v>22.8</v>
      </c>
      <c r="O89" s="168">
        <v>23</v>
      </c>
      <c r="P89" s="173">
        <v>23</v>
      </c>
      <c r="Q89" s="173">
        <v>23</v>
      </c>
      <c r="R89" s="174">
        <v>23.5</v>
      </c>
      <c r="S89" s="174">
        <v>24</v>
      </c>
    </row>
    <row r="90" spans="1:19" ht="22.5" hidden="1">
      <c r="A90" s="22" t="s">
        <v>736</v>
      </c>
      <c r="B90" s="22" t="s">
        <v>815</v>
      </c>
      <c r="C90" s="11">
        <v>7</v>
      </c>
      <c r="D90" s="12" t="s">
        <v>824</v>
      </c>
      <c r="E90" s="11" t="s">
        <v>747</v>
      </c>
      <c r="F90" s="23"/>
      <c r="G90" s="24"/>
      <c r="H90" s="24"/>
      <c r="I90" s="24"/>
      <c r="J90" s="24">
        <v>1</v>
      </c>
      <c r="K90" s="30" t="s">
        <v>825</v>
      </c>
      <c r="L90" s="24" t="s">
        <v>825</v>
      </c>
      <c r="M90" s="168" t="s">
        <v>825</v>
      </c>
      <c r="N90" s="168" t="s">
        <v>825</v>
      </c>
      <c r="O90" s="168" t="s">
        <v>825</v>
      </c>
      <c r="P90" s="173" t="s">
        <v>825</v>
      </c>
      <c r="Q90" s="173" t="s">
        <v>825</v>
      </c>
      <c r="R90" s="174"/>
      <c r="S90" s="174"/>
    </row>
    <row r="91" spans="1:19" ht="33.75" hidden="1">
      <c r="A91" s="22" t="s">
        <v>736</v>
      </c>
      <c r="B91" s="22" t="s">
        <v>815</v>
      </c>
      <c r="C91" s="11">
        <v>8</v>
      </c>
      <c r="D91" s="12" t="s">
        <v>826</v>
      </c>
      <c r="E91" s="11" t="s">
        <v>740</v>
      </c>
      <c r="F91" s="23"/>
      <c r="G91" s="24"/>
      <c r="H91" s="24"/>
      <c r="I91" s="24"/>
      <c r="J91" s="24"/>
      <c r="K91" s="30"/>
      <c r="L91" s="24">
        <v>60</v>
      </c>
      <c r="M91" s="168">
        <v>85</v>
      </c>
      <c r="N91" s="168">
        <v>95</v>
      </c>
      <c r="O91" s="168">
        <v>100</v>
      </c>
      <c r="P91" s="173">
        <v>100</v>
      </c>
      <c r="Q91" s="173">
        <v>100</v>
      </c>
      <c r="R91" s="174"/>
      <c r="S91" s="174"/>
    </row>
    <row r="92" spans="1:19" ht="45" hidden="1">
      <c r="A92" s="22" t="s">
        <v>736</v>
      </c>
      <c r="B92" s="22" t="s">
        <v>815</v>
      </c>
      <c r="C92" s="11">
        <v>9</v>
      </c>
      <c r="D92" s="12" t="s">
        <v>827</v>
      </c>
      <c r="E92" s="11" t="s">
        <v>740</v>
      </c>
      <c r="F92" s="23"/>
      <c r="G92" s="24"/>
      <c r="H92" s="24"/>
      <c r="I92" s="24"/>
      <c r="J92" s="24"/>
      <c r="K92" s="30"/>
      <c r="L92" s="24">
        <v>0</v>
      </c>
      <c r="M92" s="154">
        <v>25</v>
      </c>
      <c r="N92" s="154">
        <v>35</v>
      </c>
      <c r="O92" s="154">
        <v>50</v>
      </c>
      <c r="P92" s="155">
        <v>50</v>
      </c>
      <c r="Q92" s="155">
        <v>50</v>
      </c>
      <c r="R92" s="174"/>
      <c r="S92" s="174"/>
    </row>
    <row r="93" spans="1:19" ht="22.5" hidden="1">
      <c r="A93" s="22" t="s">
        <v>736</v>
      </c>
      <c r="B93" s="22" t="s">
        <v>815</v>
      </c>
      <c r="C93" s="11">
        <v>10</v>
      </c>
      <c r="D93" s="12" t="s">
        <v>828</v>
      </c>
      <c r="E93" s="11" t="s">
        <v>740</v>
      </c>
      <c r="F93" s="23"/>
      <c r="G93" s="24"/>
      <c r="H93" s="24"/>
      <c r="I93" s="24"/>
      <c r="J93" s="24"/>
      <c r="K93" s="30"/>
      <c r="L93" s="24"/>
      <c r="M93" s="154">
        <v>20</v>
      </c>
      <c r="N93" s="154">
        <v>30</v>
      </c>
      <c r="O93" s="154">
        <v>50</v>
      </c>
      <c r="P93" s="155">
        <v>50</v>
      </c>
      <c r="Q93" s="155">
        <v>50</v>
      </c>
      <c r="R93" s="174"/>
      <c r="S93" s="174"/>
    </row>
    <row r="94" spans="1:19">
      <c r="A94" s="22" t="s">
        <v>736</v>
      </c>
      <c r="B94" s="22" t="s">
        <v>815</v>
      </c>
      <c r="C94" s="11">
        <v>5</v>
      </c>
      <c r="D94" s="12" t="s">
        <v>829</v>
      </c>
      <c r="E94" s="11" t="s">
        <v>747</v>
      </c>
      <c r="F94" s="23"/>
      <c r="G94" s="24"/>
      <c r="H94" s="24"/>
      <c r="I94" s="24"/>
      <c r="J94" s="24"/>
      <c r="K94" s="30"/>
      <c r="L94" s="24"/>
      <c r="M94" s="154">
        <v>1</v>
      </c>
      <c r="N94" s="154">
        <v>1</v>
      </c>
      <c r="O94" s="154">
        <v>1</v>
      </c>
      <c r="P94" s="155">
        <v>1</v>
      </c>
      <c r="Q94" s="155">
        <v>1</v>
      </c>
      <c r="R94" s="174">
        <v>1</v>
      </c>
      <c r="S94" s="174">
        <v>1</v>
      </c>
    </row>
    <row r="95" spans="1:19" ht="23.25">
      <c r="A95" s="22" t="s">
        <v>736</v>
      </c>
      <c r="B95" s="22" t="s">
        <v>815</v>
      </c>
      <c r="C95" s="11">
        <v>6</v>
      </c>
      <c r="D95" s="54" t="s">
        <v>830</v>
      </c>
      <c r="E95" s="11" t="s">
        <v>747</v>
      </c>
      <c r="F95" s="23"/>
      <c r="G95" s="24"/>
      <c r="H95" s="24"/>
      <c r="I95" s="24"/>
      <c r="J95" s="24"/>
      <c r="K95" s="30"/>
      <c r="L95" s="24">
        <v>1</v>
      </c>
      <c r="M95" s="168">
        <v>19</v>
      </c>
      <c r="N95" s="168">
        <v>20</v>
      </c>
      <c r="O95" s="168">
        <v>20</v>
      </c>
      <c r="P95" s="173">
        <v>20</v>
      </c>
      <c r="Q95" s="173">
        <v>20</v>
      </c>
      <c r="R95" s="174">
        <v>20</v>
      </c>
      <c r="S95" s="174">
        <v>20</v>
      </c>
    </row>
    <row r="96" spans="1:19" ht="45" hidden="1">
      <c r="A96" s="22" t="s">
        <v>736</v>
      </c>
      <c r="B96" s="22" t="s">
        <v>815</v>
      </c>
      <c r="C96" s="11">
        <v>12</v>
      </c>
      <c r="D96" s="12" t="s">
        <v>831</v>
      </c>
      <c r="E96" s="11" t="s">
        <v>740</v>
      </c>
      <c r="F96" s="23">
        <v>80</v>
      </c>
      <c r="G96" s="24">
        <v>85</v>
      </c>
      <c r="H96" s="24">
        <v>85</v>
      </c>
      <c r="I96" s="24">
        <v>88</v>
      </c>
      <c r="J96" s="24">
        <v>88</v>
      </c>
      <c r="K96" s="30">
        <v>88</v>
      </c>
      <c r="L96" s="24">
        <v>89</v>
      </c>
      <c r="M96" s="24"/>
      <c r="N96" s="11"/>
      <c r="O96" s="11"/>
      <c r="P96" s="11"/>
      <c r="Q96" s="11"/>
      <c r="R96" s="55"/>
    </row>
    <row r="97" spans="1:18" ht="33.75" hidden="1">
      <c r="A97" s="22" t="s">
        <v>736</v>
      </c>
      <c r="B97" s="22" t="s">
        <v>815</v>
      </c>
      <c r="C97" s="11">
        <v>13</v>
      </c>
      <c r="D97" s="12" t="s">
        <v>832</v>
      </c>
      <c r="E97" s="11" t="s">
        <v>740</v>
      </c>
      <c r="F97" s="23">
        <v>70</v>
      </c>
      <c r="G97" s="24">
        <v>75</v>
      </c>
      <c r="H97" s="24">
        <v>77</v>
      </c>
      <c r="I97" s="24">
        <v>80</v>
      </c>
      <c r="J97" s="24">
        <v>80</v>
      </c>
      <c r="K97" s="30">
        <v>80</v>
      </c>
      <c r="L97" s="24">
        <v>80</v>
      </c>
      <c r="M97" s="24"/>
      <c r="N97" s="11"/>
      <c r="O97" s="37"/>
      <c r="P97" s="37"/>
      <c r="Q97" s="37"/>
      <c r="R97" s="53"/>
    </row>
    <row r="98" spans="1:18" ht="33.75" hidden="1">
      <c r="A98" s="22" t="s">
        <v>736</v>
      </c>
      <c r="B98" s="22" t="s">
        <v>815</v>
      </c>
      <c r="C98" s="11">
        <v>14</v>
      </c>
      <c r="D98" s="12" t="s">
        <v>833</v>
      </c>
      <c r="E98" s="11" t="s">
        <v>740</v>
      </c>
      <c r="F98" s="23">
        <v>96</v>
      </c>
      <c r="G98" s="24">
        <v>100</v>
      </c>
      <c r="H98" s="24">
        <v>100</v>
      </c>
      <c r="I98" s="24">
        <v>100</v>
      </c>
      <c r="J98" s="24">
        <v>100</v>
      </c>
      <c r="K98" s="30">
        <v>100</v>
      </c>
      <c r="L98" s="24">
        <v>100</v>
      </c>
      <c r="M98" s="24"/>
      <c r="N98" s="11"/>
      <c r="O98" s="37"/>
      <c r="P98" s="37"/>
      <c r="Q98" s="37"/>
      <c r="R98" s="53"/>
    </row>
    <row r="99" spans="1:18">
      <c r="D99" s="56"/>
    </row>
    <row r="100" spans="1:18">
      <c r="D100" s="56"/>
    </row>
  </sheetData>
  <mergeCells count="19">
    <mergeCell ref="D13:S13"/>
    <mergeCell ref="D83:S83"/>
    <mergeCell ref="D79:S79"/>
    <mergeCell ref="D53:S53"/>
    <mergeCell ref="D32:S32"/>
    <mergeCell ref="D73:S73"/>
    <mergeCell ref="K3:Q3"/>
    <mergeCell ref="K2:Q2"/>
    <mergeCell ref="K1:Q1"/>
    <mergeCell ref="E9:E12"/>
    <mergeCell ref="F10:K10"/>
    <mergeCell ref="F9:S9"/>
    <mergeCell ref="L10:S10"/>
    <mergeCell ref="A9:B11"/>
    <mergeCell ref="B7:M7"/>
    <mergeCell ref="C9:C12"/>
    <mergeCell ref="K4:Q4"/>
    <mergeCell ref="D9:D12"/>
    <mergeCell ref="M5:Q5"/>
  </mergeCells>
  <phoneticPr fontId="33" type="noConversion"/>
  <pageMargins left="0.31000000238418601" right="0.32000002264976501" top="0.270000010728836" bottom="0.229999989271164" header="0.21999999880790699" footer="0.25"/>
  <pageSetup paperSize="9" orientation="landscape" r:id="rId1"/>
  <headerFooter>
    <oddFooter>&amp;C&amp;11&amp;"Calibri,Regular"&amp;P&amp;12&amp;"-,Regular"</oddFooter>
  </headerFooter>
</worksheet>
</file>

<file path=xl/worksheets/sheet2.xml><?xml version="1.0" encoding="utf-8"?>
<worksheet xmlns="http://schemas.openxmlformats.org/spreadsheetml/2006/main" xmlns:r="http://schemas.openxmlformats.org/officeDocument/2006/relationships">
  <dimension ref="A1:L177"/>
  <sheetViews>
    <sheetView view="pageBreakPreview" zoomScale="60" zoomScaleNormal="100" workbookViewId="0">
      <selection activeCell="A7" sqref="A7:I7"/>
    </sheetView>
  </sheetViews>
  <sheetFormatPr defaultColWidth="9.140625" defaultRowHeight="15"/>
  <cols>
    <col min="1" max="1" width="3.5703125" style="57" bestFit="1" customWidth="1"/>
    <col min="2" max="2" width="3" style="57" bestFit="1" customWidth="1"/>
    <col min="3" max="3" width="3.5703125" style="57" bestFit="1" customWidth="1"/>
    <col min="4" max="4" width="2.7109375" style="57" bestFit="1" customWidth="1"/>
    <col min="5" max="5" width="47.28515625" style="58" customWidth="1"/>
    <col min="6" max="6" width="21.28515625" style="57" customWidth="1"/>
    <col min="7" max="7" width="12.140625" style="57" customWidth="1"/>
    <col min="8" max="8" width="42" style="58" customWidth="1"/>
    <col min="9" max="9" width="15.42578125" style="59" customWidth="1"/>
    <col min="10" max="10" width="5" bestFit="1" customWidth="1"/>
  </cols>
  <sheetData>
    <row r="1" spans="1:12" s="60" customFormat="1" ht="14.1" customHeight="1">
      <c r="A1" s="61"/>
      <c r="B1" s="61"/>
      <c r="C1" s="61"/>
      <c r="D1" s="61"/>
      <c r="E1" s="62"/>
      <c r="F1" s="61"/>
      <c r="G1" s="61"/>
      <c r="H1" s="63" t="s">
        <v>834</v>
      </c>
      <c r="I1" s="64"/>
    </row>
    <row r="2" spans="1:12" s="60" customFormat="1" ht="14.1" customHeight="1">
      <c r="A2" s="61"/>
      <c r="B2" s="61"/>
      <c r="C2" s="61"/>
      <c r="D2" s="61"/>
      <c r="E2" s="62"/>
      <c r="F2" s="61"/>
      <c r="G2" s="61"/>
      <c r="H2" s="63" t="s">
        <v>707</v>
      </c>
      <c r="I2" s="64"/>
    </row>
    <row r="3" spans="1:12" s="60" customFormat="1" ht="26.25" customHeight="1">
      <c r="A3" s="61"/>
      <c r="B3" s="61"/>
      <c r="C3" s="61"/>
      <c r="D3" s="61"/>
      <c r="E3" s="62"/>
      <c r="F3" s="61"/>
      <c r="G3" s="61"/>
      <c r="H3" s="65" t="s">
        <v>708</v>
      </c>
      <c r="I3" s="66"/>
      <c r="J3" s="67"/>
      <c r="K3" s="67"/>
      <c r="L3" s="67"/>
    </row>
    <row r="4" spans="1:12" s="60" customFormat="1" ht="14.1" customHeight="1">
      <c r="A4" s="61"/>
      <c r="B4" s="61"/>
      <c r="C4" s="61"/>
      <c r="D4" s="61"/>
      <c r="E4" s="62"/>
      <c r="F4" s="61"/>
      <c r="G4" s="61"/>
      <c r="H4" s="63" t="s">
        <v>709</v>
      </c>
      <c r="I4" s="64"/>
    </row>
    <row r="5" spans="1:12" s="60" customFormat="1" ht="14.1" customHeight="1">
      <c r="A5" s="61"/>
      <c r="B5" s="61"/>
      <c r="C5" s="61"/>
      <c r="D5" s="68"/>
      <c r="E5" s="69"/>
      <c r="F5" s="68"/>
      <c r="G5" s="68"/>
      <c r="H5" s="63"/>
      <c r="I5" s="64"/>
    </row>
    <row r="6" spans="1:12" s="60" customFormat="1" ht="14.1" customHeight="1">
      <c r="A6" s="178"/>
      <c r="B6" s="178"/>
      <c r="C6" s="178"/>
      <c r="D6" s="179"/>
      <c r="E6" s="180"/>
      <c r="F6" s="179"/>
      <c r="G6" s="179"/>
      <c r="H6" s="181"/>
      <c r="I6" s="182"/>
    </row>
    <row r="7" spans="1:12" s="60" customFormat="1" ht="14.1" customHeight="1">
      <c r="A7" s="486" t="s">
        <v>835</v>
      </c>
      <c r="B7" s="486"/>
      <c r="C7" s="486"/>
      <c r="D7" s="486"/>
      <c r="E7" s="486"/>
      <c r="F7" s="486"/>
      <c r="G7" s="486"/>
      <c r="H7" s="486"/>
      <c r="I7" s="486"/>
    </row>
    <row r="8" spans="1:12" ht="42.75" customHeight="1">
      <c r="A8" s="178"/>
      <c r="B8" s="178"/>
      <c r="C8" s="178"/>
      <c r="D8" s="179"/>
      <c r="E8" s="180"/>
      <c r="F8" s="179"/>
      <c r="G8" s="179"/>
      <c r="H8" s="180"/>
      <c r="I8" s="183"/>
    </row>
    <row r="9" spans="1:12" ht="15.75" customHeight="1">
      <c r="A9" s="487" t="s">
        <v>711</v>
      </c>
      <c r="B9" s="488"/>
      <c r="C9" s="488"/>
      <c r="D9" s="489"/>
      <c r="E9" s="490" t="s">
        <v>836</v>
      </c>
      <c r="F9" s="487" t="s">
        <v>837</v>
      </c>
      <c r="G9" s="487" t="s">
        <v>838</v>
      </c>
      <c r="H9" s="490" t="s">
        <v>839</v>
      </c>
      <c r="I9" s="493" t="s">
        <v>840</v>
      </c>
    </row>
    <row r="10" spans="1:12" s="18" customFormat="1" ht="14.1" customHeight="1">
      <c r="A10" s="184" t="s">
        <v>732</v>
      </c>
      <c r="B10" s="184" t="s">
        <v>733</v>
      </c>
      <c r="C10" s="184" t="s">
        <v>841</v>
      </c>
      <c r="D10" s="184" t="s">
        <v>842</v>
      </c>
      <c r="E10" s="491"/>
      <c r="F10" s="492"/>
      <c r="G10" s="492"/>
      <c r="H10" s="491"/>
      <c r="I10" s="494"/>
    </row>
    <row r="11" spans="1:12" s="26" customFormat="1" ht="68.25" customHeight="1">
      <c r="A11" s="185" t="s">
        <v>736</v>
      </c>
      <c r="B11" s="185" t="s">
        <v>737</v>
      </c>
      <c r="C11" s="185"/>
      <c r="D11" s="185"/>
      <c r="E11" s="186" t="s">
        <v>738</v>
      </c>
      <c r="F11" s="187"/>
      <c r="G11" s="187"/>
      <c r="H11" s="186"/>
      <c r="I11" s="188"/>
      <c r="J11" s="70"/>
    </row>
    <row r="12" spans="1:12" s="26" customFormat="1" ht="15" hidden="1" customHeight="1">
      <c r="A12" s="189" t="s">
        <v>736</v>
      </c>
      <c r="B12" s="189" t="s">
        <v>737</v>
      </c>
      <c r="C12" s="189" t="s">
        <v>736</v>
      </c>
      <c r="D12" s="189"/>
      <c r="E12" s="190" t="s">
        <v>843</v>
      </c>
      <c r="F12" s="191" t="s">
        <v>844</v>
      </c>
      <c r="G12" s="191" t="s">
        <v>845</v>
      </c>
      <c r="H12" s="190" t="s">
        <v>846</v>
      </c>
      <c r="I12" s="192" t="s">
        <v>847</v>
      </c>
      <c r="J12" s="70"/>
    </row>
    <row r="13" spans="1:12" s="26" customFormat="1" ht="48" customHeight="1">
      <c r="A13" s="189" t="s">
        <v>736</v>
      </c>
      <c r="B13" s="189" t="s">
        <v>737</v>
      </c>
      <c r="C13" s="189" t="s">
        <v>848</v>
      </c>
      <c r="D13" s="189"/>
      <c r="E13" s="190" t="s">
        <v>849</v>
      </c>
      <c r="F13" s="191"/>
      <c r="G13" s="191" t="s">
        <v>845</v>
      </c>
      <c r="H13" s="190"/>
      <c r="I13" s="192"/>
      <c r="J13" s="71"/>
    </row>
    <row r="14" spans="1:12" s="26" customFormat="1" ht="34.5" customHeight="1">
      <c r="A14" s="189" t="s">
        <v>736</v>
      </c>
      <c r="B14" s="189" t="s">
        <v>737</v>
      </c>
      <c r="C14" s="189" t="s">
        <v>848</v>
      </c>
      <c r="D14" s="189" t="s">
        <v>737</v>
      </c>
      <c r="E14" s="193" t="s">
        <v>850</v>
      </c>
      <c r="F14" s="191" t="s">
        <v>851</v>
      </c>
      <c r="G14" s="191" t="s">
        <v>845</v>
      </c>
      <c r="H14" s="190" t="s">
        <v>852</v>
      </c>
      <c r="I14" s="192" t="s">
        <v>853</v>
      </c>
    </row>
    <row r="15" spans="1:12" s="26" customFormat="1" ht="48" customHeight="1">
      <c r="A15" s="189" t="s">
        <v>736</v>
      </c>
      <c r="B15" s="189" t="s">
        <v>737</v>
      </c>
      <c r="C15" s="189" t="s">
        <v>848</v>
      </c>
      <c r="D15" s="189" t="s">
        <v>757</v>
      </c>
      <c r="E15" s="194" t="s">
        <v>854</v>
      </c>
      <c r="F15" s="191" t="s">
        <v>851</v>
      </c>
      <c r="G15" s="191" t="s">
        <v>845</v>
      </c>
      <c r="H15" s="190" t="s">
        <v>855</v>
      </c>
      <c r="I15" s="192" t="s">
        <v>853</v>
      </c>
    </row>
    <row r="16" spans="1:12" s="26" customFormat="1" ht="39" customHeight="1">
      <c r="A16" s="195" t="s">
        <v>736</v>
      </c>
      <c r="B16" s="195" t="s">
        <v>737</v>
      </c>
      <c r="C16" s="195" t="s">
        <v>848</v>
      </c>
      <c r="D16" s="195" t="s">
        <v>780</v>
      </c>
      <c r="E16" s="196" t="s">
        <v>856</v>
      </c>
      <c r="F16" s="184" t="s">
        <v>844</v>
      </c>
      <c r="G16" s="184" t="s">
        <v>845</v>
      </c>
      <c r="H16" s="196" t="s">
        <v>857</v>
      </c>
      <c r="I16" s="197" t="s">
        <v>858</v>
      </c>
      <c r="J16" s="70"/>
    </row>
    <row r="17" spans="1:10" s="26" customFormat="1" ht="47.25" customHeight="1">
      <c r="A17" s="189" t="s">
        <v>736</v>
      </c>
      <c r="B17" s="189" t="s">
        <v>737</v>
      </c>
      <c r="C17" s="189" t="s">
        <v>859</v>
      </c>
      <c r="D17" s="189"/>
      <c r="E17" s="190" t="s">
        <v>860</v>
      </c>
      <c r="F17" s="191" t="s">
        <v>844</v>
      </c>
      <c r="G17" s="191" t="s">
        <v>845</v>
      </c>
      <c r="H17" s="190" t="s">
        <v>861</v>
      </c>
      <c r="I17" s="192" t="s">
        <v>862</v>
      </c>
      <c r="J17" s="70"/>
    </row>
    <row r="18" spans="1:10" s="26" customFormat="1" ht="60.75" customHeight="1">
      <c r="A18" s="195" t="s">
        <v>736</v>
      </c>
      <c r="B18" s="195" t="s">
        <v>737</v>
      </c>
      <c r="C18" s="195" t="s">
        <v>859</v>
      </c>
      <c r="D18" s="195" t="s">
        <v>737</v>
      </c>
      <c r="E18" s="196" t="s">
        <v>863</v>
      </c>
      <c r="F18" s="184" t="s">
        <v>851</v>
      </c>
      <c r="G18" s="184" t="s">
        <v>845</v>
      </c>
      <c r="H18" s="196" t="s">
        <v>864</v>
      </c>
      <c r="I18" s="197" t="s">
        <v>853</v>
      </c>
      <c r="J18" s="70"/>
    </row>
    <row r="19" spans="1:10" s="26" customFormat="1" ht="24.75" customHeight="1">
      <c r="A19" s="189" t="s">
        <v>736</v>
      </c>
      <c r="B19" s="189" t="s">
        <v>737</v>
      </c>
      <c r="C19" s="189" t="s">
        <v>865</v>
      </c>
      <c r="D19" s="189"/>
      <c r="E19" s="190" t="s">
        <v>866</v>
      </c>
      <c r="F19" s="191" t="s">
        <v>851</v>
      </c>
      <c r="G19" s="191" t="s">
        <v>845</v>
      </c>
      <c r="H19" s="190" t="s">
        <v>867</v>
      </c>
      <c r="I19" s="192" t="s">
        <v>868</v>
      </c>
      <c r="J19" s="70"/>
    </row>
    <row r="20" spans="1:10" s="26" customFormat="1" ht="59.25" customHeight="1">
      <c r="A20" s="189" t="s">
        <v>736</v>
      </c>
      <c r="B20" s="189" t="s">
        <v>737</v>
      </c>
      <c r="C20" s="189" t="s">
        <v>869</v>
      </c>
      <c r="D20" s="189"/>
      <c r="E20" s="190" t="s">
        <v>870</v>
      </c>
      <c r="F20" s="191" t="s">
        <v>851</v>
      </c>
      <c r="G20" s="191" t="s">
        <v>845</v>
      </c>
      <c r="H20" s="190" t="s">
        <v>871</v>
      </c>
      <c r="I20" s="192" t="s">
        <v>872</v>
      </c>
    </row>
    <row r="21" spans="1:10" s="26" customFormat="1" ht="27" customHeight="1">
      <c r="A21" s="189" t="s">
        <v>736</v>
      </c>
      <c r="B21" s="189" t="s">
        <v>737</v>
      </c>
      <c r="C21" s="189" t="s">
        <v>869</v>
      </c>
      <c r="D21" s="189" t="s">
        <v>737</v>
      </c>
      <c r="E21" s="198" t="s">
        <v>873</v>
      </c>
      <c r="F21" s="191" t="s">
        <v>851</v>
      </c>
      <c r="G21" s="191" t="s">
        <v>845</v>
      </c>
      <c r="H21" s="190" t="s">
        <v>874</v>
      </c>
      <c r="I21" s="192" t="s">
        <v>875</v>
      </c>
    </row>
    <row r="22" spans="1:10" s="26" customFormat="1" ht="62.25" customHeight="1">
      <c r="A22" s="189" t="s">
        <v>736</v>
      </c>
      <c r="B22" s="189" t="s">
        <v>737</v>
      </c>
      <c r="C22" s="189" t="s">
        <v>869</v>
      </c>
      <c r="D22" s="189" t="s">
        <v>757</v>
      </c>
      <c r="E22" s="198" t="s">
        <v>876</v>
      </c>
      <c r="F22" s="191" t="s">
        <v>851</v>
      </c>
      <c r="G22" s="191" t="s">
        <v>845</v>
      </c>
      <c r="H22" s="190" t="s">
        <v>877</v>
      </c>
      <c r="I22" s="192" t="s">
        <v>878</v>
      </c>
    </row>
    <row r="23" spans="1:10" s="26" customFormat="1" ht="51" customHeight="1">
      <c r="A23" s="189" t="s">
        <v>736</v>
      </c>
      <c r="B23" s="189" t="s">
        <v>737</v>
      </c>
      <c r="C23" s="189" t="s">
        <v>869</v>
      </c>
      <c r="D23" s="189" t="s">
        <v>780</v>
      </c>
      <c r="E23" s="190" t="s">
        <v>879</v>
      </c>
      <c r="F23" s="191" t="s">
        <v>851</v>
      </c>
      <c r="G23" s="191" t="s">
        <v>845</v>
      </c>
      <c r="H23" s="190" t="s">
        <v>880</v>
      </c>
      <c r="I23" s="192" t="s">
        <v>872</v>
      </c>
    </row>
    <row r="24" spans="1:10" s="26" customFormat="1" ht="27" customHeight="1">
      <c r="A24" s="195" t="s">
        <v>736</v>
      </c>
      <c r="B24" s="195" t="s">
        <v>737</v>
      </c>
      <c r="C24" s="195" t="s">
        <v>869</v>
      </c>
      <c r="D24" s="195" t="s">
        <v>803</v>
      </c>
      <c r="E24" s="196" t="s">
        <v>881</v>
      </c>
      <c r="F24" s="184" t="s">
        <v>851</v>
      </c>
      <c r="G24" s="184" t="s">
        <v>845</v>
      </c>
      <c r="H24" s="196" t="s">
        <v>882</v>
      </c>
      <c r="I24" s="197" t="s">
        <v>872</v>
      </c>
    </row>
    <row r="25" spans="1:10" s="26" customFormat="1" ht="13.5" customHeight="1">
      <c r="A25" s="189" t="s">
        <v>736</v>
      </c>
      <c r="B25" s="189" t="s">
        <v>737</v>
      </c>
      <c r="C25" s="189" t="s">
        <v>883</v>
      </c>
      <c r="D25" s="189"/>
      <c r="E25" s="194" t="s">
        <v>884</v>
      </c>
      <c r="F25" s="191" t="s">
        <v>851</v>
      </c>
      <c r="G25" s="191" t="s">
        <v>845</v>
      </c>
      <c r="H25" s="190" t="s">
        <v>885</v>
      </c>
      <c r="I25" s="192"/>
      <c r="J25" s="70"/>
    </row>
    <row r="26" spans="1:10" s="26" customFormat="1" ht="49.5" customHeight="1">
      <c r="A26" s="189" t="s">
        <v>736</v>
      </c>
      <c r="B26" s="189" t="s">
        <v>737</v>
      </c>
      <c r="C26" s="189" t="s">
        <v>886</v>
      </c>
      <c r="D26" s="189"/>
      <c r="E26" s="190" t="s">
        <v>887</v>
      </c>
      <c r="F26" s="191"/>
      <c r="G26" s="191"/>
      <c r="H26" s="190"/>
      <c r="I26" s="192"/>
    </row>
    <row r="27" spans="1:10" s="26" customFormat="1" ht="47.25" customHeight="1">
      <c r="A27" s="189" t="s">
        <v>736</v>
      </c>
      <c r="B27" s="189" t="s">
        <v>737</v>
      </c>
      <c r="C27" s="189" t="s">
        <v>886</v>
      </c>
      <c r="D27" s="189" t="s">
        <v>737</v>
      </c>
      <c r="E27" s="198" t="s">
        <v>888</v>
      </c>
      <c r="F27" s="191" t="s">
        <v>851</v>
      </c>
      <c r="G27" s="191" t="s">
        <v>845</v>
      </c>
      <c r="H27" s="190" t="s">
        <v>889</v>
      </c>
      <c r="I27" s="192" t="s">
        <v>868</v>
      </c>
    </row>
    <row r="28" spans="1:10" s="26" customFormat="1" ht="45">
      <c r="A28" s="189" t="s">
        <v>736</v>
      </c>
      <c r="B28" s="189" t="s">
        <v>737</v>
      </c>
      <c r="C28" s="189" t="s">
        <v>886</v>
      </c>
      <c r="D28" s="189" t="s">
        <v>757</v>
      </c>
      <c r="E28" s="198" t="s">
        <v>890</v>
      </c>
      <c r="F28" s="191" t="s">
        <v>851</v>
      </c>
      <c r="G28" s="191" t="s">
        <v>845</v>
      </c>
      <c r="H28" s="190" t="s">
        <v>891</v>
      </c>
      <c r="I28" s="192" t="s">
        <v>868</v>
      </c>
    </row>
    <row r="29" spans="1:10" s="26" customFormat="1" ht="24" customHeight="1">
      <c r="A29" s="189" t="s">
        <v>736</v>
      </c>
      <c r="B29" s="189" t="s">
        <v>737</v>
      </c>
      <c r="C29" s="189" t="s">
        <v>886</v>
      </c>
      <c r="D29" s="189" t="s">
        <v>780</v>
      </c>
      <c r="E29" s="198" t="s">
        <v>892</v>
      </c>
      <c r="F29" s="191" t="s">
        <v>893</v>
      </c>
      <c r="G29" s="191" t="s">
        <v>845</v>
      </c>
      <c r="H29" s="190" t="s">
        <v>894</v>
      </c>
      <c r="I29" s="192" t="s">
        <v>847</v>
      </c>
    </row>
    <row r="30" spans="1:10" s="26" customFormat="1" ht="36" customHeight="1">
      <c r="A30" s="189" t="s">
        <v>736</v>
      </c>
      <c r="B30" s="189" t="s">
        <v>737</v>
      </c>
      <c r="C30" s="189" t="s">
        <v>895</v>
      </c>
      <c r="D30" s="189"/>
      <c r="E30" s="190" t="s">
        <v>896</v>
      </c>
      <c r="F30" s="191" t="s">
        <v>851</v>
      </c>
      <c r="G30" s="191"/>
      <c r="H30" s="190"/>
      <c r="I30" s="192"/>
    </row>
    <row r="31" spans="1:10" s="26" customFormat="1" ht="91.5" customHeight="1">
      <c r="A31" s="189" t="s">
        <v>736</v>
      </c>
      <c r="B31" s="189" t="s">
        <v>737</v>
      </c>
      <c r="C31" s="189" t="s">
        <v>895</v>
      </c>
      <c r="D31" s="189" t="s">
        <v>737</v>
      </c>
      <c r="E31" s="190" t="s">
        <v>897</v>
      </c>
      <c r="F31" s="191" t="s">
        <v>851</v>
      </c>
      <c r="G31" s="191" t="s">
        <v>845</v>
      </c>
      <c r="H31" s="190" t="s">
        <v>898</v>
      </c>
      <c r="I31" s="192" t="s">
        <v>899</v>
      </c>
    </row>
    <row r="32" spans="1:10" s="26" customFormat="1" ht="179.25" customHeight="1">
      <c r="A32" s="189" t="s">
        <v>736</v>
      </c>
      <c r="B32" s="189" t="s">
        <v>737</v>
      </c>
      <c r="C32" s="189" t="s">
        <v>895</v>
      </c>
      <c r="D32" s="189" t="s">
        <v>757</v>
      </c>
      <c r="E32" s="190" t="s">
        <v>900</v>
      </c>
      <c r="F32" s="191" t="s">
        <v>901</v>
      </c>
      <c r="G32" s="191" t="s">
        <v>845</v>
      </c>
      <c r="H32" s="190" t="s">
        <v>902</v>
      </c>
      <c r="I32" s="192" t="s">
        <v>903</v>
      </c>
    </row>
    <row r="33" spans="1:10" s="26" customFormat="1" ht="191.25">
      <c r="A33" s="195" t="s">
        <v>736</v>
      </c>
      <c r="B33" s="195" t="s">
        <v>737</v>
      </c>
      <c r="C33" s="195" t="s">
        <v>904</v>
      </c>
      <c r="D33" s="195"/>
      <c r="E33" s="199" t="s">
        <v>905</v>
      </c>
      <c r="F33" s="184" t="s">
        <v>901</v>
      </c>
      <c r="G33" s="184" t="s">
        <v>845</v>
      </c>
      <c r="H33" s="196" t="s">
        <v>906</v>
      </c>
      <c r="I33" s="197" t="s">
        <v>907</v>
      </c>
    </row>
    <row r="34" spans="1:10" s="26" customFormat="1" ht="92.25" customHeight="1">
      <c r="A34" s="195" t="s">
        <v>736</v>
      </c>
      <c r="B34" s="195" t="s">
        <v>737</v>
      </c>
      <c r="C34" s="195" t="s">
        <v>908</v>
      </c>
      <c r="D34" s="195" t="s">
        <v>737</v>
      </c>
      <c r="E34" s="196" t="s">
        <v>909</v>
      </c>
      <c r="F34" s="184" t="s">
        <v>901</v>
      </c>
      <c r="G34" s="184" t="s">
        <v>845</v>
      </c>
      <c r="H34" s="196" t="s">
        <v>910</v>
      </c>
      <c r="I34" s="197" t="s">
        <v>911</v>
      </c>
    </row>
    <row r="35" spans="1:10" s="26" customFormat="1" ht="60.75" customHeight="1">
      <c r="A35" s="195" t="s">
        <v>736</v>
      </c>
      <c r="B35" s="195" t="s">
        <v>737</v>
      </c>
      <c r="C35" s="195" t="s">
        <v>908</v>
      </c>
      <c r="D35" s="195" t="s">
        <v>757</v>
      </c>
      <c r="E35" s="196" t="s">
        <v>912</v>
      </c>
      <c r="F35" s="184" t="s">
        <v>901</v>
      </c>
      <c r="G35" s="184" t="s">
        <v>845</v>
      </c>
      <c r="H35" s="196" t="s">
        <v>913</v>
      </c>
      <c r="I35" s="197" t="s">
        <v>914</v>
      </c>
    </row>
    <row r="36" spans="1:10" s="26" customFormat="1" ht="25.5" customHeight="1">
      <c r="A36" s="195" t="s">
        <v>736</v>
      </c>
      <c r="B36" s="195" t="s">
        <v>737</v>
      </c>
      <c r="C36" s="195" t="s">
        <v>908</v>
      </c>
      <c r="D36" s="195" t="s">
        <v>780</v>
      </c>
      <c r="E36" s="199" t="s">
        <v>915</v>
      </c>
      <c r="F36" s="200" t="s">
        <v>844</v>
      </c>
      <c r="G36" s="184" t="s">
        <v>845</v>
      </c>
      <c r="H36" s="199" t="s">
        <v>916</v>
      </c>
      <c r="I36" s="201" t="s">
        <v>862</v>
      </c>
    </row>
    <row r="37" spans="1:10" s="26" customFormat="1" ht="36" customHeight="1">
      <c r="A37" s="195" t="s">
        <v>736</v>
      </c>
      <c r="B37" s="195" t="s">
        <v>737</v>
      </c>
      <c r="C37" s="195" t="s">
        <v>917</v>
      </c>
      <c r="D37" s="195"/>
      <c r="E37" s="196" t="s">
        <v>918</v>
      </c>
      <c r="F37" s="184" t="s">
        <v>851</v>
      </c>
      <c r="G37" s="184" t="s">
        <v>845</v>
      </c>
      <c r="H37" s="196"/>
      <c r="I37" s="197"/>
    </row>
    <row r="38" spans="1:10" s="26" customFormat="1" ht="33.75">
      <c r="A38" s="195" t="s">
        <v>736</v>
      </c>
      <c r="B38" s="195" t="s">
        <v>737</v>
      </c>
      <c r="C38" s="195" t="s">
        <v>917</v>
      </c>
      <c r="D38" s="195" t="s">
        <v>737</v>
      </c>
      <c r="E38" s="196" t="s">
        <v>919</v>
      </c>
      <c r="F38" s="184" t="s">
        <v>851</v>
      </c>
      <c r="G38" s="184" t="s">
        <v>845</v>
      </c>
      <c r="H38" s="196" t="s">
        <v>920</v>
      </c>
      <c r="I38" s="197" t="s">
        <v>868</v>
      </c>
    </row>
    <row r="39" spans="1:10" s="26" customFormat="1" ht="33.75">
      <c r="A39" s="195" t="s">
        <v>736</v>
      </c>
      <c r="B39" s="195" t="s">
        <v>737</v>
      </c>
      <c r="C39" s="195" t="s">
        <v>917</v>
      </c>
      <c r="D39" s="195" t="s">
        <v>757</v>
      </c>
      <c r="E39" s="196" t="s">
        <v>921</v>
      </c>
      <c r="F39" s="184" t="s">
        <v>851</v>
      </c>
      <c r="G39" s="184" t="s">
        <v>845</v>
      </c>
      <c r="H39" s="196" t="s">
        <v>922</v>
      </c>
      <c r="I39" s="197" t="s">
        <v>868</v>
      </c>
    </row>
    <row r="40" spans="1:10" s="26" customFormat="1" ht="50.25" customHeight="1">
      <c r="A40" s="195" t="s">
        <v>736</v>
      </c>
      <c r="B40" s="195" t="s">
        <v>737</v>
      </c>
      <c r="C40" s="195" t="s">
        <v>923</v>
      </c>
      <c r="D40" s="195" t="s">
        <v>780</v>
      </c>
      <c r="E40" s="196" t="s">
        <v>924</v>
      </c>
      <c r="F40" s="184" t="s">
        <v>851</v>
      </c>
      <c r="G40" s="184" t="s">
        <v>845</v>
      </c>
      <c r="H40" s="196" t="s">
        <v>925</v>
      </c>
      <c r="I40" s="197" t="s">
        <v>868</v>
      </c>
    </row>
    <row r="41" spans="1:10" s="21" customFormat="1" ht="56.25">
      <c r="A41" s="195" t="s">
        <v>736</v>
      </c>
      <c r="B41" s="195" t="s">
        <v>737</v>
      </c>
      <c r="C41" s="195" t="s">
        <v>923</v>
      </c>
      <c r="D41" s="195" t="s">
        <v>803</v>
      </c>
      <c r="E41" s="196" t="s">
        <v>926</v>
      </c>
      <c r="F41" s="184" t="s">
        <v>927</v>
      </c>
      <c r="G41" s="184" t="s">
        <v>845</v>
      </c>
      <c r="H41" s="196" t="s">
        <v>928</v>
      </c>
      <c r="I41" s="197" t="s">
        <v>929</v>
      </c>
    </row>
    <row r="42" spans="1:10" s="21" customFormat="1" ht="61.5" customHeight="1">
      <c r="A42" s="202" t="s">
        <v>736</v>
      </c>
      <c r="B42" s="202" t="s">
        <v>757</v>
      </c>
      <c r="C42" s="202"/>
      <c r="D42" s="202"/>
      <c r="E42" s="203" t="s">
        <v>758</v>
      </c>
      <c r="F42" s="204"/>
      <c r="G42" s="191"/>
      <c r="H42" s="203"/>
      <c r="I42" s="205"/>
    </row>
    <row r="43" spans="1:10" s="72" customFormat="1" ht="83.25" customHeight="1">
      <c r="A43" s="206" t="s">
        <v>736</v>
      </c>
      <c r="B43" s="206" t="s">
        <v>757</v>
      </c>
      <c r="C43" s="206" t="s">
        <v>736</v>
      </c>
      <c r="D43" s="206"/>
      <c r="E43" s="198" t="s">
        <v>930</v>
      </c>
      <c r="F43" s="207" t="s">
        <v>851</v>
      </c>
      <c r="G43" s="191" t="s">
        <v>845</v>
      </c>
      <c r="H43" s="198" t="s">
        <v>931</v>
      </c>
      <c r="I43" s="208" t="s">
        <v>932</v>
      </c>
    </row>
    <row r="44" spans="1:10" s="26" customFormat="1" ht="83.25" customHeight="1">
      <c r="A44" s="209" t="s">
        <v>736</v>
      </c>
      <c r="B44" s="209" t="s">
        <v>757</v>
      </c>
      <c r="C44" s="209" t="s">
        <v>736</v>
      </c>
      <c r="D44" s="209" t="s">
        <v>933</v>
      </c>
      <c r="E44" s="199" t="s">
        <v>934</v>
      </c>
      <c r="F44" s="199" t="s">
        <v>893</v>
      </c>
      <c r="G44" s="184" t="s">
        <v>845</v>
      </c>
      <c r="H44" s="199" t="s">
        <v>779</v>
      </c>
      <c r="I44" s="208" t="s">
        <v>932</v>
      </c>
      <c r="J44" s="71"/>
    </row>
    <row r="45" spans="1:10" s="26" customFormat="1" ht="60" customHeight="1">
      <c r="A45" s="189" t="s">
        <v>736</v>
      </c>
      <c r="B45" s="189" t="s">
        <v>757</v>
      </c>
      <c r="C45" s="189" t="s">
        <v>736</v>
      </c>
      <c r="D45" s="189" t="s">
        <v>737</v>
      </c>
      <c r="E45" s="190" t="s">
        <v>935</v>
      </c>
      <c r="F45" s="191" t="s">
        <v>851</v>
      </c>
      <c r="G45" s="191" t="s">
        <v>845</v>
      </c>
      <c r="H45" s="190" t="s">
        <v>935</v>
      </c>
      <c r="I45" s="208" t="s">
        <v>932</v>
      </c>
    </row>
    <row r="46" spans="1:10" s="26" customFormat="1" ht="48.75" customHeight="1">
      <c r="A46" s="189" t="s">
        <v>736</v>
      </c>
      <c r="B46" s="189" t="s">
        <v>757</v>
      </c>
      <c r="C46" s="189" t="s">
        <v>736</v>
      </c>
      <c r="D46" s="189" t="s">
        <v>757</v>
      </c>
      <c r="E46" s="190" t="s">
        <v>936</v>
      </c>
      <c r="F46" s="191" t="s">
        <v>851</v>
      </c>
      <c r="G46" s="191" t="s">
        <v>845</v>
      </c>
      <c r="H46" s="190" t="s">
        <v>931</v>
      </c>
      <c r="I46" s="208" t="s">
        <v>932</v>
      </c>
    </row>
    <row r="47" spans="1:10" s="73" customFormat="1" ht="95.25" customHeight="1">
      <c r="A47" s="195" t="s">
        <v>736</v>
      </c>
      <c r="B47" s="195" t="s">
        <v>757</v>
      </c>
      <c r="C47" s="195" t="s">
        <v>736</v>
      </c>
      <c r="D47" s="195" t="s">
        <v>780</v>
      </c>
      <c r="E47" s="196" t="s">
        <v>937</v>
      </c>
      <c r="F47" s="184" t="s">
        <v>851</v>
      </c>
      <c r="G47" s="184" t="s">
        <v>845</v>
      </c>
      <c r="H47" s="196" t="s">
        <v>938</v>
      </c>
      <c r="I47" s="208" t="s">
        <v>939</v>
      </c>
    </row>
    <row r="48" spans="1:10" s="74" customFormat="1" ht="95.25" customHeight="1">
      <c r="A48" s="209" t="s">
        <v>736</v>
      </c>
      <c r="B48" s="209" t="s">
        <v>757</v>
      </c>
      <c r="C48" s="209" t="s">
        <v>736</v>
      </c>
      <c r="D48" s="209" t="s">
        <v>803</v>
      </c>
      <c r="E48" s="199" t="s">
        <v>775</v>
      </c>
      <c r="F48" s="200" t="s">
        <v>851</v>
      </c>
      <c r="G48" s="184" t="s">
        <v>845</v>
      </c>
      <c r="H48" s="199" t="s">
        <v>940</v>
      </c>
      <c r="I48" s="208" t="s">
        <v>932</v>
      </c>
    </row>
    <row r="49" spans="1:10" s="26" customFormat="1" ht="22.5" customHeight="1">
      <c r="A49" s="210" t="s">
        <v>736</v>
      </c>
      <c r="B49" s="210" t="s">
        <v>757</v>
      </c>
      <c r="C49" s="210" t="s">
        <v>736</v>
      </c>
      <c r="D49" s="210" t="s">
        <v>810</v>
      </c>
      <c r="E49" s="211" t="s">
        <v>941</v>
      </c>
      <c r="F49" s="212" t="s">
        <v>851</v>
      </c>
      <c r="G49" s="212" t="s">
        <v>942</v>
      </c>
      <c r="H49" s="211" t="s">
        <v>941</v>
      </c>
      <c r="I49" s="208" t="s">
        <v>932</v>
      </c>
    </row>
    <row r="50" spans="1:10" s="26" customFormat="1" ht="70.5" customHeight="1">
      <c r="A50" s="189" t="s">
        <v>736</v>
      </c>
      <c r="B50" s="189" t="s">
        <v>757</v>
      </c>
      <c r="C50" s="189" t="s">
        <v>848</v>
      </c>
      <c r="D50" s="189"/>
      <c r="E50" s="213" t="s">
        <v>943</v>
      </c>
      <c r="F50" s="191" t="s">
        <v>851</v>
      </c>
      <c r="G50" s="207" t="s">
        <v>845</v>
      </c>
      <c r="H50" s="190"/>
      <c r="I50" s="208" t="s">
        <v>944</v>
      </c>
      <c r="J50" s="70"/>
    </row>
    <row r="51" spans="1:10" s="26" customFormat="1" ht="46.5" customHeight="1">
      <c r="A51" s="189" t="s">
        <v>736</v>
      </c>
      <c r="B51" s="189" t="s">
        <v>757</v>
      </c>
      <c r="C51" s="189" t="s">
        <v>848</v>
      </c>
      <c r="D51" s="189" t="s">
        <v>737</v>
      </c>
      <c r="E51" s="214" t="s">
        <v>945</v>
      </c>
      <c r="F51" s="191" t="s">
        <v>851</v>
      </c>
      <c r="G51" s="207" t="s">
        <v>845</v>
      </c>
      <c r="H51" s="214" t="s">
        <v>946</v>
      </c>
      <c r="I51" s="208" t="s">
        <v>944</v>
      </c>
      <c r="J51" s="70"/>
    </row>
    <row r="52" spans="1:10" s="1" customFormat="1" ht="74.25" customHeight="1">
      <c r="A52" s="189" t="s">
        <v>736</v>
      </c>
      <c r="B52" s="189" t="s">
        <v>757</v>
      </c>
      <c r="C52" s="189" t="s">
        <v>859</v>
      </c>
      <c r="D52" s="189"/>
      <c r="E52" s="215" t="s">
        <v>947</v>
      </c>
      <c r="F52" s="191" t="s">
        <v>851</v>
      </c>
      <c r="G52" s="207" t="s">
        <v>845</v>
      </c>
      <c r="H52" s="190" t="s">
        <v>948</v>
      </c>
      <c r="I52" s="192" t="s">
        <v>932</v>
      </c>
      <c r="J52" s="75"/>
    </row>
    <row r="53" spans="1:10" s="1" customFormat="1" ht="24.75" customHeight="1">
      <c r="A53" s="189" t="s">
        <v>736</v>
      </c>
      <c r="B53" s="189" t="s">
        <v>757</v>
      </c>
      <c r="C53" s="189" t="s">
        <v>859</v>
      </c>
      <c r="D53" s="189" t="s">
        <v>737</v>
      </c>
      <c r="E53" s="190" t="s">
        <v>949</v>
      </c>
      <c r="F53" s="191" t="s">
        <v>851</v>
      </c>
      <c r="G53" s="207" t="s">
        <v>845</v>
      </c>
      <c r="H53" s="190" t="s">
        <v>950</v>
      </c>
      <c r="I53" s="192" t="s">
        <v>932</v>
      </c>
      <c r="J53" s="75"/>
    </row>
    <row r="54" spans="1:10" s="1" customFormat="1" ht="23.25" customHeight="1">
      <c r="A54" s="189" t="s">
        <v>736</v>
      </c>
      <c r="B54" s="189" t="s">
        <v>757</v>
      </c>
      <c r="C54" s="189" t="s">
        <v>859</v>
      </c>
      <c r="D54" s="189" t="s">
        <v>757</v>
      </c>
      <c r="E54" s="190" t="s">
        <v>951</v>
      </c>
      <c r="F54" s="191" t="s">
        <v>844</v>
      </c>
      <c r="G54" s="207" t="s">
        <v>845</v>
      </c>
      <c r="H54" s="190" t="s">
        <v>952</v>
      </c>
      <c r="I54" s="192" t="s">
        <v>932</v>
      </c>
      <c r="J54" s="75"/>
    </row>
    <row r="55" spans="1:10" s="1" customFormat="1" ht="23.25" customHeight="1">
      <c r="A55" s="189" t="s">
        <v>736</v>
      </c>
      <c r="B55" s="189" t="s">
        <v>757</v>
      </c>
      <c r="C55" s="189" t="s">
        <v>859</v>
      </c>
      <c r="D55" s="189" t="s">
        <v>780</v>
      </c>
      <c r="E55" s="190" t="s">
        <v>953</v>
      </c>
      <c r="F55" s="191" t="s">
        <v>844</v>
      </c>
      <c r="G55" s="207" t="s">
        <v>845</v>
      </c>
      <c r="H55" s="190" t="s">
        <v>954</v>
      </c>
      <c r="I55" s="192" t="s">
        <v>932</v>
      </c>
      <c r="J55" s="75"/>
    </row>
    <row r="56" spans="1:10" s="1" customFormat="1" ht="57.75" customHeight="1">
      <c r="A56" s="189" t="s">
        <v>736</v>
      </c>
      <c r="B56" s="189" t="s">
        <v>757</v>
      </c>
      <c r="C56" s="189" t="s">
        <v>859</v>
      </c>
      <c r="D56" s="189" t="s">
        <v>803</v>
      </c>
      <c r="E56" s="190" t="s">
        <v>955</v>
      </c>
      <c r="F56" s="191" t="s">
        <v>844</v>
      </c>
      <c r="G56" s="207" t="s">
        <v>845</v>
      </c>
      <c r="H56" s="190" t="s">
        <v>956</v>
      </c>
      <c r="I56" s="192" t="s">
        <v>932</v>
      </c>
      <c r="J56" s="75"/>
    </row>
    <row r="57" spans="1:10" s="26" customFormat="1" ht="81" customHeight="1">
      <c r="A57" s="189" t="s">
        <v>736</v>
      </c>
      <c r="B57" s="189" t="s">
        <v>757</v>
      </c>
      <c r="C57" s="189" t="s">
        <v>859</v>
      </c>
      <c r="D57" s="189" t="s">
        <v>810</v>
      </c>
      <c r="E57" s="190" t="s">
        <v>957</v>
      </c>
      <c r="F57" s="191" t="s">
        <v>844</v>
      </c>
      <c r="G57" s="207" t="s">
        <v>845</v>
      </c>
      <c r="H57" s="190" t="s">
        <v>958</v>
      </c>
      <c r="I57" s="192" t="s">
        <v>932</v>
      </c>
      <c r="J57" s="70" t="s">
        <v>512</v>
      </c>
    </row>
    <row r="58" spans="1:10" s="26" customFormat="1" ht="44.25" customHeight="1">
      <c r="A58" s="195" t="s">
        <v>736</v>
      </c>
      <c r="B58" s="195" t="s">
        <v>757</v>
      </c>
      <c r="C58" s="195" t="s">
        <v>859</v>
      </c>
      <c r="D58" s="195" t="s">
        <v>815</v>
      </c>
      <c r="E58" s="196" t="s">
        <v>510</v>
      </c>
      <c r="F58" s="184" t="s">
        <v>851</v>
      </c>
      <c r="G58" s="200" t="s">
        <v>845</v>
      </c>
      <c r="H58" s="196" t="s">
        <v>511</v>
      </c>
      <c r="I58" s="192" t="s">
        <v>932</v>
      </c>
      <c r="J58" s="70"/>
    </row>
    <row r="59" spans="1:10" s="26" customFormat="1" ht="68.25" customHeight="1">
      <c r="A59" s="195" t="s">
        <v>736</v>
      </c>
      <c r="B59" s="195" t="s">
        <v>757</v>
      </c>
      <c r="C59" s="195" t="s">
        <v>859</v>
      </c>
      <c r="D59" s="195" t="s">
        <v>513</v>
      </c>
      <c r="E59" s="199" t="s">
        <v>514</v>
      </c>
      <c r="F59" s="184" t="s">
        <v>851</v>
      </c>
      <c r="G59" s="200" t="s">
        <v>845</v>
      </c>
      <c r="H59" s="196" t="s">
        <v>515</v>
      </c>
      <c r="I59" s="192" t="s">
        <v>932</v>
      </c>
      <c r="J59" s="70"/>
    </row>
    <row r="60" spans="1:10" s="26" customFormat="1" ht="46.5" customHeight="1">
      <c r="A60" s="195" t="s">
        <v>736</v>
      </c>
      <c r="B60" s="195" t="s">
        <v>757</v>
      </c>
      <c r="C60" s="195" t="s">
        <v>859</v>
      </c>
      <c r="D60" s="195" t="s">
        <v>516</v>
      </c>
      <c r="E60" s="199" t="s">
        <v>517</v>
      </c>
      <c r="F60" s="184" t="s">
        <v>851</v>
      </c>
      <c r="G60" s="200" t="s">
        <v>845</v>
      </c>
      <c r="H60" s="196" t="s">
        <v>518</v>
      </c>
      <c r="I60" s="192" t="s">
        <v>932</v>
      </c>
      <c r="J60" s="70"/>
    </row>
    <row r="61" spans="1:10" s="1" customFormat="1" ht="36.75" customHeight="1">
      <c r="A61" s="195" t="s">
        <v>736</v>
      </c>
      <c r="B61" s="195" t="s">
        <v>757</v>
      </c>
      <c r="C61" s="195" t="s">
        <v>859</v>
      </c>
      <c r="D61" s="195" t="s">
        <v>519</v>
      </c>
      <c r="E61" s="76" t="s">
        <v>520</v>
      </c>
      <c r="F61" s="184" t="s">
        <v>851</v>
      </c>
      <c r="G61" s="200" t="s">
        <v>845</v>
      </c>
      <c r="H61" s="196" t="s">
        <v>521</v>
      </c>
      <c r="I61" s="192" t="s">
        <v>932</v>
      </c>
      <c r="J61" s="75"/>
    </row>
    <row r="62" spans="1:10" s="1" customFormat="1" ht="36" customHeight="1">
      <c r="A62" s="189" t="s">
        <v>736</v>
      </c>
      <c r="B62" s="189" t="s">
        <v>757</v>
      </c>
      <c r="C62" s="189" t="s">
        <v>865</v>
      </c>
      <c r="D62" s="189"/>
      <c r="E62" s="190" t="s">
        <v>522</v>
      </c>
      <c r="F62" s="191" t="s">
        <v>851</v>
      </c>
      <c r="G62" s="207" t="s">
        <v>845</v>
      </c>
      <c r="H62" s="190" t="s">
        <v>523</v>
      </c>
      <c r="I62" s="192" t="s">
        <v>932</v>
      </c>
      <c r="J62" s="75"/>
    </row>
    <row r="63" spans="1:10" s="73" customFormat="1" ht="59.25" customHeight="1">
      <c r="A63" s="189" t="s">
        <v>736</v>
      </c>
      <c r="B63" s="189" t="s">
        <v>757</v>
      </c>
      <c r="C63" s="189" t="s">
        <v>869</v>
      </c>
      <c r="D63" s="189"/>
      <c r="E63" s="216" t="s">
        <v>524</v>
      </c>
      <c r="F63" s="191" t="s">
        <v>851</v>
      </c>
      <c r="G63" s="207" t="s">
        <v>845</v>
      </c>
      <c r="H63" s="190" t="s">
        <v>525</v>
      </c>
      <c r="I63" s="192" t="s">
        <v>932</v>
      </c>
      <c r="J63" s="77" t="s">
        <v>528</v>
      </c>
    </row>
    <row r="64" spans="1:10" s="73" customFormat="1" ht="0.75" hidden="1" customHeight="1">
      <c r="A64" s="189" t="s">
        <v>736</v>
      </c>
      <c r="B64" s="189" t="s">
        <v>757</v>
      </c>
      <c r="C64" s="189" t="s">
        <v>869</v>
      </c>
      <c r="D64" s="189" t="s">
        <v>737</v>
      </c>
      <c r="E64" s="190" t="s">
        <v>526</v>
      </c>
      <c r="F64" s="191" t="s">
        <v>851</v>
      </c>
      <c r="G64" s="207" t="s">
        <v>845</v>
      </c>
      <c r="H64" s="190" t="s">
        <v>527</v>
      </c>
      <c r="I64" s="192" t="s">
        <v>932</v>
      </c>
      <c r="J64" s="77"/>
    </row>
    <row r="65" spans="1:10" s="73" customFormat="1" ht="0.75" customHeight="1">
      <c r="A65" s="217" t="s">
        <v>736</v>
      </c>
      <c r="B65" s="217" t="s">
        <v>757</v>
      </c>
      <c r="C65" s="217" t="s">
        <v>869</v>
      </c>
      <c r="D65" s="217" t="s">
        <v>757</v>
      </c>
      <c r="E65" s="218" t="s">
        <v>529</v>
      </c>
      <c r="F65" s="219" t="s">
        <v>851</v>
      </c>
      <c r="G65" s="200" t="s">
        <v>845</v>
      </c>
      <c r="H65" s="218" t="s">
        <v>527</v>
      </c>
      <c r="I65" s="220" t="s">
        <v>530</v>
      </c>
      <c r="J65" s="77"/>
    </row>
    <row r="66" spans="1:10" s="78" customFormat="1" ht="45">
      <c r="A66" s="217" t="s">
        <v>736</v>
      </c>
      <c r="B66" s="217" t="s">
        <v>757</v>
      </c>
      <c r="C66" s="217" t="s">
        <v>869</v>
      </c>
      <c r="D66" s="217" t="s">
        <v>780</v>
      </c>
      <c r="E66" s="218" t="s">
        <v>531</v>
      </c>
      <c r="F66" s="219" t="s">
        <v>851</v>
      </c>
      <c r="G66" s="200" t="s">
        <v>845</v>
      </c>
      <c r="H66" s="218" t="s">
        <v>527</v>
      </c>
      <c r="I66" s="220" t="s">
        <v>932</v>
      </c>
      <c r="J66" s="79" t="s">
        <v>512</v>
      </c>
    </row>
    <row r="67" spans="1:10" s="78" customFormat="1" ht="80.25" customHeight="1">
      <c r="A67" s="195" t="s">
        <v>736</v>
      </c>
      <c r="B67" s="195" t="s">
        <v>757</v>
      </c>
      <c r="C67" s="195" t="s">
        <v>869</v>
      </c>
      <c r="D67" s="195" t="s">
        <v>803</v>
      </c>
      <c r="E67" s="221" t="s">
        <v>532</v>
      </c>
      <c r="F67" s="184" t="s">
        <v>851</v>
      </c>
      <c r="G67" s="200" t="s">
        <v>845</v>
      </c>
      <c r="H67" s="222" t="s">
        <v>533</v>
      </c>
      <c r="I67" s="192" t="s">
        <v>932</v>
      </c>
      <c r="J67" s="79" t="s">
        <v>512</v>
      </c>
    </row>
    <row r="68" spans="1:10" s="78" customFormat="1" ht="47.25" customHeight="1">
      <c r="A68" s="223" t="s">
        <v>736</v>
      </c>
      <c r="B68" s="223" t="s">
        <v>757</v>
      </c>
      <c r="C68" s="223" t="s">
        <v>869</v>
      </c>
      <c r="D68" s="223" t="s">
        <v>810</v>
      </c>
      <c r="E68" s="222" t="s">
        <v>534</v>
      </c>
      <c r="F68" s="184" t="s">
        <v>851</v>
      </c>
      <c r="G68" s="200" t="s">
        <v>845</v>
      </c>
      <c r="H68" s="224" t="s">
        <v>535</v>
      </c>
      <c r="I68" s="192" t="s">
        <v>932</v>
      </c>
      <c r="J68" s="79" t="s">
        <v>512</v>
      </c>
    </row>
    <row r="69" spans="1:10" s="80" customFormat="1" ht="47.25" customHeight="1">
      <c r="A69" s="225" t="s">
        <v>736</v>
      </c>
      <c r="B69" s="225" t="s">
        <v>757</v>
      </c>
      <c r="C69" s="225" t="s">
        <v>869</v>
      </c>
      <c r="D69" s="225" t="s">
        <v>815</v>
      </c>
      <c r="E69" s="221" t="s">
        <v>536</v>
      </c>
      <c r="F69" s="200" t="s">
        <v>851</v>
      </c>
      <c r="G69" s="200" t="s">
        <v>845</v>
      </c>
      <c r="H69" s="221" t="s">
        <v>537</v>
      </c>
      <c r="I69" s="192" t="s">
        <v>932</v>
      </c>
      <c r="J69" s="81" t="s">
        <v>512</v>
      </c>
    </row>
    <row r="70" spans="1:10" s="80" customFormat="1" ht="81" customHeight="1">
      <c r="A70" s="225" t="s">
        <v>736</v>
      </c>
      <c r="B70" s="225" t="s">
        <v>757</v>
      </c>
      <c r="C70" s="225" t="s">
        <v>869</v>
      </c>
      <c r="D70" s="225" t="s">
        <v>513</v>
      </c>
      <c r="E70" s="226" t="s">
        <v>538</v>
      </c>
      <c r="F70" s="200" t="s">
        <v>851</v>
      </c>
      <c r="G70" s="200" t="s">
        <v>845</v>
      </c>
      <c r="H70" s="221" t="s">
        <v>539</v>
      </c>
      <c r="I70" s="192" t="s">
        <v>932</v>
      </c>
      <c r="J70" s="81"/>
    </row>
    <row r="71" spans="1:10" s="1" customFormat="1" ht="36" customHeight="1">
      <c r="A71" s="227" t="s">
        <v>736</v>
      </c>
      <c r="B71" s="227" t="s">
        <v>757</v>
      </c>
      <c r="C71" s="227" t="s">
        <v>869</v>
      </c>
      <c r="D71" s="228" t="s">
        <v>516</v>
      </c>
      <c r="E71" s="229" t="s">
        <v>540</v>
      </c>
      <c r="F71" s="230" t="s">
        <v>851</v>
      </c>
      <c r="G71" s="200" t="s">
        <v>845</v>
      </c>
      <c r="H71" s="196" t="s">
        <v>527</v>
      </c>
      <c r="I71" s="192" t="s">
        <v>932</v>
      </c>
      <c r="J71" s="75"/>
    </row>
    <row r="72" spans="1:10" s="26" customFormat="1" ht="45">
      <c r="A72" s="231" t="s">
        <v>736</v>
      </c>
      <c r="B72" s="231" t="s">
        <v>757</v>
      </c>
      <c r="C72" s="231" t="s">
        <v>869</v>
      </c>
      <c r="D72" s="228" t="s">
        <v>519</v>
      </c>
      <c r="E72" s="232" t="s">
        <v>965</v>
      </c>
      <c r="F72" s="233" t="s">
        <v>851</v>
      </c>
      <c r="G72" s="234" t="s">
        <v>845</v>
      </c>
      <c r="H72" s="235" t="s">
        <v>527</v>
      </c>
      <c r="I72" s="236" t="s">
        <v>932</v>
      </c>
      <c r="J72" s="70"/>
    </row>
    <row r="73" spans="1:10" s="26" customFormat="1" ht="33.75">
      <c r="A73" s="237" t="s">
        <v>736</v>
      </c>
      <c r="B73" s="237" t="s">
        <v>757</v>
      </c>
      <c r="C73" s="237" t="s">
        <v>883</v>
      </c>
      <c r="D73" s="237"/>
      <c r="E73" s="238" t="s">
        <v>541</v>
      </c>
      <c r="F73" s="239" t="s">
        <v>542</v>
      </c>
      <c r="G73" s="207" t="s">
        <v>845</v>
      </c>
      <c r="H73" s="240"/>
      <c r="I73" s="192" t="s">
        <v>932</v>
      </c>
      <c r="J73" s="70"/>
    </row>
    <row r="74" spans="1:10" s="1" customFormat="1" ht="34.5" customHeight="1">
      <c r="A74" s="206" t="s">
        <v>736</v>
      </c>
      <c r="B74" s="206" t="s">
        <v>757</v>
      </c>
      <c r="C74" s="206" t="s">
        <v>883</v>
      </c>
      <c r="D74" s="206" t="s">
        <v>737</v>
      </c>
      <c r="E74" s="198" t="s">
        <v>543</v>
      </c>
      <c r="F74" s="207" t="s">
        <v>851</v>
      </c>
      <c r="G74" s="207" t="s">
        <v>845</v>
      </c>
      <c r="H74" s="198" t="s">
        <v>525</v>
      </c>
      <c r="I74" s="192" t="s">
        <v>932</v>
      </c>
      <c r="J74" s="75"/>
    </row>
    <row r="75" spans="1:10" s="26" customFormat="1" ht="39.75" customHeight="1">
      <c r="A75" s="206" t="s">
        <v>736</v>
      </c>
      <c r="B75" s="206" t="s">
        <v>757</v>
      </c>
      <c r="C75" s="206" t="s">
        <v>883</v>
      </c>
      <c r="D75" s="206" t="s">
        <v>757</v>
      </c>
      <c r="E75" s="198" t="s">
        <v>544</v>
      </c>
      <c r="F75" s="207" t="s">
        <v>851</v>
      </c>
      <c r="G75" s="207" t="s">
        <v>845</v>
      </c>
      <c r="H75" s="198" t="s">
        <v>525</v>
      </c>
      <c r="I75" s="192" t="s">
        <v>932</v>
      </c>
      <c r="J75" s="70"/>
    </row>
    <row r="76" spans="1:10" s="26" customFormat="1" ht="48" customHeight="1">
      <c r="A76" s="206" t="s">
        <v>736</v>
      </c>
      <c r="B76" s="206" t="s">
        <v>757</v>
      </c>
      <c r="C76" s="206" t="s">
        <v>883</v>
      </c>
      <c r="D76" s="206" t="s">
        <v>780</v>
      </c>
      <c r="E76" s="198" t="s">
        <v>545</v>
      </c>
      <c r="F76" s="207" t="s">
        <v>844</v>
      </c>
      <c r="G76" s="207" t="s">
        <v>845</v>
      </c>
      <c r="H76" s="198" t="s">
        <v>546</v>
      </c>
      <c r="I76" s="192" t="s">
        <v>932</v>
      </c>
      <c r="J76" s="82"/>
    </row>
    <row r="77" spans="1:10" s="26" customFormat="1" ht="33.75">
      <c r="A77" s="189" t="s">
        <v>736</v>
      </c>
      <c r="B77" s="189" t="s">
        <v>757</v>
      </c>
      <c r="C77" s="189" t="s">
        <v>886</v>
      </c>
      <c r="D77" s="189"/>
      <c r="E77" s="190" t="s">
        <v>547</v>
      </c>
      <c r="F77" s="191" t="s">
        <v>851</v>
      </c>
      <c r="G77" s="207" t="s">
        <v>845</v>
      </c>
      <c r="H77" s="190" t="s">
        <v>548</v>
      </c>
      <c r="I77" s="192" t="s">
        <v>932</v>
      </c>
      <c r="J77" s="82"/>
    </row>
    <row r="78" spans="1:10" s="26" customFormat="1" ht="37.5" customHeight="1">
      <c r="A78" s="189" t="s">
        <v>736</v>
      </c>
      <c r="B78" s="189" t="s">
        <v>757</v>
      </c>
      <c r="C78" s="189" t="s">
        <v>886</v>
      </c>
      <c r="D78" s="189" t="s">
        <v>737</v>
      </c>
      <c r="E78" s="190" t="s">
        <v>549</v>
      </c>
      <c r="F78" s="191" t="s">
        <v>851</v>
      </c>
      <c r="G78" s="207" t="s">
        <v>845</v>
      </c>
      <c r="H78" s="190" t="s">
        <v>550</v>
      </c>
      <c r="I78" s="192" t="s">
        <v>932</v>
      </c>
      <c r="J78" s="82"/>
    </row>
    <row r="79" spans="1:10" s="26" customFormat="1" ht="45">
      <c r="A79" s="189" t="s">
        <v>736</v>
      </c>
      <c r="B79" s="189" t="s">
        <v>757</v>
      </c>
      <c r="C79" s="189" t="s">
        <v>886</v>
      </c>
      <c r="D79" s="189" t="s">
        <v>757</v>
      </c>
      <c r="E79" s="190" t="s">
        <v>551</v>
      </c>
      <c r="F79" s="191" t="s">
        <v>851</v>
      </c>
      <c r="G79" s="207" t="s">
        <v>845</v>
      </c>
      <c r="H79" s="190" t="s">
        <v>552</v>
      </c>
      <c r="I79" s="192" t="s">
        <v>932</v>
      </c>
      <c r="J79" s="82"/>
    </row>
    <row r="80" spans="1:10" s="26" customFormat="1" ht="33.75">
      <c r="A80" s="206" t="s">
        <v>736</v>
      </c>
      <c r="B80" s="206" t="s">
        <v>757</v>
      </c>
      <c r="C80" s="206" t="s">
        <v>895</v>
      </c>
      <c r="D80" s="206"/>
      <c r="E80" s="241" t="s">
        <v>884</v>
      </c>
      <c r="F80" s="207" t="s">
        <v>851</v>
      </c>
      <c r="G80" s="207" t="s">
        <v>845</v>
      </c>
      <c r="H80" s="198" t="s">
        <v>553</v>
      </c>
      <c r="I80" s="192" t="s">
        <v>932</v>
      </c>
      <c r="J80" s="82"/>
    </row>
    <row r="81" spans="1:10" s="26" customFormat="1" ht="70.5" customHeight="1">
      <c r="A81" s="189" t="s">
        <v>736</v>
      </c>
      <c r="B81" s="189" t="s">
        <v>757</v>
      </c>
      <c r="C81" s="189" t="s">
        <v>904</v>
      </c>
      <c r="D81" s="189"/>
      <c r="E81" s="190" t="s">
        <v>554</v>
      </c>
      <c r="F81" s="191" t="s">
        <v>844</v>
      </c>
      <c r="G81" s="207" t="s">
        <v>845</v>
      </c>
      <c r="H81" s="190" t="s">
        <v>555</v>
      </c>
      <c r="I81" s="192" t="s">
        <v>932</v>
      </c>
    </row>
    <row r="82" spans="1:10" s="26" customFormat="1" ht="24" customHeight="1">
      <c r="A82" s="189" t="s">
        <v>736</v>
      </c>
      <c r="B82" s="189" t="s">
        <v>757</v>
      </c>
      <c r="C82" s="189" t="s">
        <v>908</v>
      </c>
      <c r="D82" s="189"/>
      <c r="E82" s="190" t="s">
        <v>556</v>
      </c>
      <c r="F82" s="191"/>
      <c r="G82" s="207" t="s">
        <v>845</v>
      </c>
      <c r="H82" s="190"/>
      <c r="I82" s="192" t="s">
        <v>932</v>
      </c>
    </row>
    <row r="83" spans="1:10" s="26" customFormat="1" ht="88.5" customHeight="1">
      <c r="A83" s="189" t="s">
        <v>736</v>
      </c>
      <c r="B83" s="189" t="s">
        <v>757</v>
      </c>
      <c r="C83" s="189" t="s">
        <v>908</v>
      </c>
      <c r="D83" s="189" t="s">
        <v>737</v>
      </c>
      <c r="E83" s="190" t="s">
        <v>557</v>
      </c>
      <c r="F83" s="191" t="s">
        <v>851</v>
      </c>
      <c r="G83" s="207" t="s">
        <v>845</v>
      </c>
      <c r="H83" s="190" t="s">
        <v>867</v>
      </c>
      <c r="I83" s="192" t="s">
        <v>932</v>
      </c>
    </row>
    <row r="84" spans="1:10" s="21" customFormat="1" ht="14.1" customHeight="1">
      <c r="A84" s="189" t="s">
        <v>736</v>
      </c>
      <c r="B84" s="189" t="s">
        <v>757</v>
      </c>
      <c r="C84" s="189" t="s">
        <v>908</v>
      </c>
      <c r="D84" s="189" t="s">
        <v>757</v>
      </c>
      <c r="E84" s="190" t="s">
        <v>558</v>
      </c>
      <c r="F84" s="191" t="s">
        <v>851</v>
      </c>
      <c r="G84" s="207" t="s">
        <v>845</v>
      </c>
      <c r="H84" s="190" t="s">
        <v>898</v>
      </c>
      <c r="I84" s="192" t="s">
        <v>932</v>
      </c>
    </row>
    <row r="85" spans="1:10" s="21" customFormat="1" ht="112.5">
      <c r="A85" s="189" t="s">
        <v>736</v>
      </c>
      <c r="B85" s="189" t="s">
        <v>757</v>
      </c>
      <c r="C85" s="189" t="s">
        <v>908</v>
      </c>
      <c r="D85" s="189" t="s">
        <v>780</v>
      </c>
      <c r="E85" s="190" t="s">
        <v>559</v>
      </c>
      <c r="F85" s="191" t="s">
        <v>851</v>
      </c>
      <c r="G85" s="207" t="s">
        <v>845</v>
      </c>
      <c r="H85" s="190" t="s">
        <v>560</v>
      </c>
      <c r="I85" s="192" t="s">
        <v>932</v>
      </c>
    </row>
    <row r="86" spans="1:10" s="26" customFormat="1" ht="33.75">
      <c r="A86" s="242" t="s">
        <v>736</v>
      </c>
      <c r="B86" s="242" t="s">
        <v>757</v>
      </c>
      <c r="C86" s="242" t="s">
        <v>966</v>
      </c>
      <c r="D86" s="242" t="s">
        <v>803</v>
      </c>
      <c r="E86" s="243" t="s">
        <v>967</v>
      </c>
      <c r="F86" s="244" t="s">
        <v>844</v>
      </c>
      <c r="G86" s="244" t="s">
        <v>845</v>
      </c>
      <c r="H86" s="243"/>
      <c r="I86" s="245" t="s">
        <v>932</v>
      </c>
      <c r="J86" s="70"/>
    </row>
    <row r="87" spans="1:10" s="26" customFormat="1" ht="48" customHeight="1">
      <c r="A87" s="242" t="s">
        <v>736</v>
      </c>
      <c r="B87" s="242" t="s">
        <v>757</v>
      </c>
      <c r="C87" s="242" t="s">
        <v>968</v>
      </c>
      <c r="D87" s="242" t="s">
        <v>810</v>
      </c>
      <c r="E87" s="243" t="s">
        <v>969</v>
      </c>
      <c r="F87" s="244" t="s">
        <v>844</v>
      </c>
      <c r="G87" s="244" t="s">
        <v>845</v>
      </c>
      <c r="H87" s="243"/>
      <c r="I87" s="246" t="s">
        <v>932</v>
      </c>
      <c r="J87" s="70"/>
    </row>
    <row r="88" spans="1:10" s="26" customFormat="1" ht="45">
      <c r="A88" s="242" t="s">
        <v>736</v>
      </c>
      <c r="B88" s="242" t="s">
        <v>757</v>
      </c>
      <c r="C88" s="242" t="s">
        <v>968</v>
      </c>
      <c r="D88" s="242" t="s">
        <v>815</v>
      </c>
      <c r="E88" s="243" t="s">
        <v>273</v>
      </c>
      <c r="F88" s="244" t="s">
        <v>844</v>
      </c>
      <c r="G88" s="244" t="s">
        <v>845</v>
      </c>
      <c r="H88" s="243"/>
      <c r="I88" s="246" t="s">
        <v>932</v>
      </c>
      <c r="J88" s="70"/>
    </row>
    <row r="89" spans="1:10" s="26" customFormat="1" ht="117" customHeight="1">
      <c r="A89" s="202" t="s">
        <v>736</v>
      </c>
      <c r="B89" s="202" t="s">
        <v>780</v>
      </c>
      <c r="C89" s="202"/>
      <c r="D89" s="202"/>
      <c r="E89" s="203" t="s">
        <v>781</v>
      </c>
      <c r="F89" s="204"/>
      <c r="G89" s="204"/>
      <c r="H89" s="203"/>
      <c r="I89" s="247"/>
      <c r="J89" s="70"/>
    </row>
    <row r="90" spans="1:10" s="26" customFormat="1">
      <c r="A90" s="195" t="s">
        <v>736</v>
      </c>
      <c r="B90" s="195" t="s">
        <v>780</v>
      </c>
      <c r="C90" s="195" t="s">
        <v>736</v>
      </c>
      <c r="D90" s="195"/>
      <c r="E90" s="196" t="s">
        <v>561</v>
      </c>
      <c r="F90" s="248"/>
      <c r="G90" s="248"/>
      <c r="H90" s="249"/>
      <c r="I90" s="250"/>
      <c r="J90" s="70"/>
    </row>
    <row r="91" spans="1:10" s="26" customFormat="1" ht="36.75" customHeight="1">
      <c r="A91" s="189" t="s">
        <v>736</v>
      </c>
      <c r="B91" s="189" t="s">
        <v>780</v>
      </c>
      <c r="C91" s="189" t="s">
        <v>736</v>
      </c>
      <c r="D91" s="189" t="s">
        <v>737</v>
      </c>
      <c r="E91" s="251" t="s">
        <v>562</v>
      </c>
      <c r="F91" s="191" t="s">
        <v>851</v>
      </c>
      <c r="G91" s="252" t="s">
        <v>845</v>
      </c>
      <c r="H91" s="190" t="s">
        <v>563</v>
      </c>
      <c r="I91" s="192" t="s">
        <v>564</v>
      </c>
      <c r="J91" s="70"/>
    </row>
    <row r="92" spans="1:10" s="26" customFormat="1" ht="72" customHeight="1">
      <c r="A92" s="189" t="s">
        <v>736</v>
      </c>
      <c r="B92" s="189" t="s">
        <v>780</v>
      </c>
      <c r="C92" s="189" t="s">
        <v>736</v>
      </c>
      <c r="D92" s="189" t="s">
        <v>757</v>
      </c>
      <c r="E92" s="251" t="s">
        <v>565</v>
      </c>
      <c r="F92" s="191" t="s">
        <v>566</v>
      </c>
      <c r="G92" s="252" t="s">
        <v>845</v>
      </c>
      <c r="H92" s="190" t="s">
        <v>567</v>
      </c>
      <c r="I92" s="192" t="s">
        <v>568</v>
      </c>
      <c r="J92" s="70"/>
    </row>
    <row r="93" spans="1:10" s="26" customFormat="1" ht="36" customHeight="1">
      <c r="A93" s="189" t="s">
        <v>736</v>
      </c>
      <c r="B93" s="189" t="s">
        <v>780</v>
      </c>
      <c r="C93" s="189" t="s">
        <v>859</v>
      </c>
      <c r="D93" s="189"/>
      <c r="E93" s="190" t="s">
        <v>569</v>
      </c>
      <c r="F93" s="191" t="s">
        <v>504</v>
      </c>
      <c r="G93" s="252" t="s">
        <v>845</v>
      </c>
      <c r="H93" s="190"/>
      <c r="I93" s="192"/>
      <c r="J93" s="70"/>
    </row>
    <row r="94" spans="1:10" s="26" customFormat="1" ht="72" customHeight="1">
      <c r="A94" s="189" t="s">
        <v>736</v>
      </c>
      <c r="B94" s="189" t="s">
        <v>780</v>
      </c>
      <c r="C94" s="189" t="s">
        <v>859</v>
      </c>
      <c r="D94" s="189" t="s">
        <v>737</v>
      </c>
      <c r="E94" s="190" t="s">
        <v>570</v>
      </c>
      <c r="F94" s="191" t="s">
        <v>504</v>
      </c>
      <c r="G94" s="252" t="s">
        <v>845</v>
      </c>
      <c r="H94" s="190" t="s">
        <v>571</v>
      </c>
      <c r="I94" s="192" t="s">
        <v>572</v>
      </c>
      <c r="J94" s="70"/>
    </row>
    <row r="95" spans="1:10" s="26" customFormat="1" ht="22.5">
      <c r="A95" s="189" t="s">
        <v>736</v>
      </c>
      <c r="B95" s="189" t="s">
        <v>780</v>
      </c>
      <c r="C95" s="189" t="s">
        <v>865</v>
      </c>
      <c r="D95" s="189"/>
      <c r="E95" s="190" t="s">
        <v>573</v>
      </c>
      <c r="F95" s="191" t="s">
        <v>504</v>
      </c>
      <c r="G95" s="252" t="s">
        <v>845</v>
      </c>
      <c r="H95" s="190"/>
      <c r="I95" s="192"/>
      <c r="J95" s="70"/>
    </row>
    <row r="96" spans="1:10" s="26" customFormat="1" ht="69.75" customHeight="1">
      <c r="A96" s="189" t="s">
        <v>736</v>
      </c>
      <c r="B96" s="189" t="s">
        <v>780</v>
      </c>
      <c r="C96" s="189" t="s">
        <v>865</v>
      </c>
      <c r="D96" s="189" t="s">
        <v>737</v>
      </c>
      <c r="E96" s="253" t="s">
        <v>574</v>
      </c>
      <c r="F96" s="191" t="s">
        <v>575</v>
      </c>
      <c r="G96" s="252" t="s">
        <v>845</v>
      </c>
      <c r="H96" s="190" t="s">
        <v>576</v>
      </c>
      <c r="I96" s="192" t="s">
        <v>577</v>
      </c>
      <c r="J96" s="82"/>
    </row>
    <row r="97" spans="1:10" s="26" customFormat="1" ht="78.75">
      <c r="A97" s="189" t="s">
        <v>736</v>
      </c>
      <c r="B97" s="189" t="s">
        <v>780</v>
      </c>
      <c r="C97" s="189" t="s">
        <v>865</v>
      </c>
      <c r="D97" s="189" t="s">
        <v>757</v>
      </c>
      <c r="E97" s="253" t="s">
        <v>578</v>
      </c>
      <c r="F97" s="191" t="s">
        <v>575</v>
      </c>
      <c r="G97" s="252" t="s">
        <v>845</v>
      </c>
      <c r="H97" s="190" t="s">
        <v>579</v>
      </c>
      <c r="I97" s="192" t="s">
        <v>580</v>
      </c>
      <c r="J97" s="82"/>
    </row>
    <row r="98" spans="1:10" s="26" customFormat="1" ht="49.5" customHeight="1">
      <c r="A98" s="189" t="s">
        <v>736</v>
      </c>
      <c r="B98" s="189" t="s">
        <v>780</v>
      </c>
      <c r="C98" s="189" t="s">
        <v>865</v>
      </c>
      <c r="D98" s="189" t="s">
        <v>780</v>
      </c>
      <c r="E98" s="253" t="s">
        <v>581</v>
      </c>
      <c r="F98" s="191" t="s">
        <v>575</v>
      </c>
      <c r="G98" s="252" t="s">
        <v>845</v>
      </c>
      <c r="H98" s="190" t="s">
        <v>576</v>
      </c>
      <c r="I98" s="192" t="s">
        <v>580</v>
      </c>
      <c r="J98" s="82"/>
    </row>
    <row r="99" spans="1:10" s="26" customFormat="1" ht="36" customHeight="1">
      <c r="A99" s="189" t="s">
        <v>736</v>
      </c>
      <c r="B99" s="189" t="s">
        <v>780</v>
      </c>
      <c r="C99" s="189" t="s">
        <v>865</v>
      </c>
      <c r="D99" s="189" t="s">
        <v>803</v>
      </c>
      <c r="E99" s="253" t="s">
        <v>582</v>
      </c>
      <c r="F99" s="191" t="s">
        <v>583</v>
      </c>
      <c r="G99" s="252" t="s">
        <v>845</v>
      </c>
      <c r="H99" s="190" t="s">
        <v>584</v>
      </c>
      <c r="I99" s="192" t="s">
        <v>585</v>
      </c>
      <c r="J99" s="82" t="s">
        <v>592</v>
      </c>
    </row>
    <row r="100" spans="1:10" s="28" customFormat="1" ht="22.5" customHeight="1">
      <c r="A100" s="189" t="s">
        <v>736</v>
      </c>
      <c r="B100" s="189" t="s">
        <v>780</v>
      </c>
      <c r="C100" s="189" t="s">
        <v>869</v>
      </c>
      <c r="D100" s="189"/>
      <c r="E100" s="215" t="s">
        <v>586</v>
      </c>
      <c r="F100" s="191"/>
      <c r="G100" s="252"/>
      <c r="H100" s="190"/>
      <c r="I100" s="192"/>
      <c r="J100" s="83"/>
    </row>
    <row r="101" spans="1:10" s="26" customFormat="1" ht="60.75" customHeight="1">
      <c r="A101" s="189" t="s">
        <v>736</v>
      </c>
      <c r="B101" s="189" t="s">
        <v>780</v>
      </c>
      <c r="C101" s="189" t="s">
        <v>869</v>
      </c>
      <c r="D101" s="189" t="s">
        <v>737</v>
      </c>
      <c r="E101" s="254" t="s">
        <v>587</v>
      </c>
      <c r="F101" s="191" t="s">
        <v>575</v>
      </c>
      <c r="G101" s="252" t="s">
        <v>845</v>
      </c>
      <c r="H101" s="190" t="s">
        <v>588</v>
      </c>
      <c r="I101" s="192" t="s">
        <v>564</v>
      </c>
      <c r="J101" s="70"/>
    </row>
    <row r="102" spans="1:10" s="26" customFormat="1" ht="45">
      <c r="A102" s="189" t="s">
        <v>736</v>
      </c>
      <c r="B102" s="189" t="s">
        <v>780</v>
      </c>
      <c r="C102" s="189" t="s">
        <v>869</v>
      </c>
      <c r="D102" s="189" t="s">
        <v>757</v>
      </c>
      <c r="E102" s="190" t="s">
        <v>955</v>
      </c>
      <c r="F102" s="191" t="s">
        <v>575</v>
      </c>
      <c r="G102" s="252" t="s">
        <v>845</v>
      </c>
      <c r="H102" s="190" t="s">
        <v>956</v>
      </c>
      <c r="I102" s="192" t="s">
        <v>589</v>
      </c>
    </row>
    <row r="103" spans="1:10" s="26" customFormat="1" ht="103.5" customHeight="1">
      <c r="A103" s="195" t="s">
        <v>736</v>
      </c>
      <c r="B103" s="195" t="s">
        <v>780</v>
      </c>
      <c r="C103" s="195" t="s">
        <v>869</v>
      </c>
      <c r="D103" s="195" t="s">
        <v>780</v>
      </c>
      <c r="E103" s="196" t="s">
        <v>549</v>
      </c>
      <c r="F103" s="184" t="s">
        <v>575</v>
      </c>
      <c r="G103" s="255" t="s">
        <v>845</v>
      </c>
      <c r="H103" s="196" t="s">
        <v>550</v>
      </c>
      <c r="I103" s="197"/>
    </row>
    <row r="104" spans="1:10" s="26" customFormat="1" ht="67.5" customHeight="1">
      <c r="A104" s="189" t="s">
        <v>736</v>
      </c>
      <c r="B104" s="189" t="s">
        <v>780</v>
      </c>
      <c r="C104" s="189" t="s">
        <v>883</v>
      </c>
      <c r="D104" s="189"/>
      <c r="E104" s="194" t="s">
        <v>884</v>
      </c>
      <c r="F104" s="191" t="s">
        <v>575</v>
      </c>
      <c r="G104" s="252" t="s">
        <v>845</v>
      </c>
      <c r="H104" s="190" t="s">
        <v>590</v>
      </c>
      <c r="I104" s="256" t="s">
        <v>591</v>
      </c>
    </row>
    <row r="105" spans="1:10" s="26" customFormat="1" ht="82.5" customHeight="1">
      <c r="A105" s="189" t="s">
        <v>736</v>
      </c>
      <c r="B105" s="189" t="s">
        <v>780</v>
      </c>
      <c r="C105" s="189" t="s">
        <v>886</v>
      </c>
      <c r="D105" s="189"/>
      <c r="E105" s="190" t="s">
        <v>593</v>
      </c>
      <c r="F105" s="191" t="s">
        <v>575</v>
      </c>
      <c r="G105" s="252" t="s">
        <v>845</v>
      </c>
      <c r="H105" s="190"/>
      <c r="I105" s="192"/>
    </row>
    <row r="106" spans="1:10" s="26" customFormat="1" ht="59.25" customHeight="1">
      <c r="A106" s="189" t="s">
        <v>736</v>
      </c>
      <c r="B106" s="189" t="s">
        <v>780</v>
      </c>
      <c r="C106" s="189" t="s">
        <v>886</v>
      </c>
      <c r="D106" s="189" t="s">
        <v>737</v>
      </c>
      <c r="E106" s="190" t="s">
        <v>594</v>
      </c>
      <c r="F106" s="191" t="s">
        <v>575</v>
      </c>
      <c r="G106" s="252" t="s">
        <v>845</v>
      </c>
      <c r="H106" s="190" t="s">
        <v>867</v>
      </c>
      <c r="I106" s="192" t="s">
        <v>595</v>
      </c>
    </row>
    <row r="107" spans="1:10" s="26" customFormat="1" ht="83.25" customHeight="1">
      <c r="A107" s="189" t="s">
        <v>736</v>
      </c>
      <c r="B107" s="189" t="s">
        <v>780</v>
      </c>
      <c r="C107" s="189" t="s">
        <v>886</v>
      </c>
      <c r="D107" s="189" t="s">
        <v>757</v>
      </c>
      <c r="E107" s="190" t="s">
        <v>596</v>
      </c>
      <c r="F107" s="191" t="s">
        <v>575</v>
      </c>
      <c r="G107" s="252" t="s">
        <v>845</v>
      </c>
      <c r="H107" s="190" t="s">
        <v>898</v>
      </c>
      <c r="I107" s="192" t="s">
        <v>595</v>
      </c>
    </row>
    <row r="108" spans="1:10" s="26" customFormat="1" ht="119.25" customHeight="1">
      <c r="A108" s="189" t="s">
        <v>736</v>
      </c>
      <c r="B108" s="189" t="s">
        <v>780</v>
      </c>
      <c r="C108" s="189" t="s">
        <v>886</v>
      </c>
      <c r="D108" s="189" t="s">
        <v>780</v>
      </c>
      <c r="E108" s="190" t="s">
        <v>597</v>
      </c>
      <c r="F108" s="191" t="s">
        <v>575</v>
      </c>
      <c r="G108" s="252" t="s">
        <v>845</v>
      </c>
      <c r="H108" s="190" t="s">
        <v>598</v>
      </c>
      <c r="I108" s="192" t="s">
        <v>595</v>
      </c>
    </row>
    <row r="109" spans="1:10" s="26" customFormat="1" ht="67.5">
      <c r="A109" s="189" t="s">
        <v>736</v>
      </c>
      <c r="B109" s="189" t="s">
        <v>780</v>
      </c>
      <c r="C109" s="189" t="s">
        <v>895</v>
      </c>
      <c r="D109" s="189"/>
      <c r="E109" s="190" t="s">
        <v>599</v>
      </c>
      <c r="F109" s="191" t="s">
        <v>575</v>
      </c>
      <c r="G109" s="252" t="s">
        <v>845</v>
      </c>
      <c r="H109" s="190" t="s">
        <v>600</v>
      </c>
      <c r="I109" s="192" t="s">
        <v>595</v>
      </c>
    </row>
    <row r="110" spans="1:10" s="21" customFormat="1" ht="90">
      <c r="A110" s="189" t="s">
        <v>736</v>
      </c>
      <c r="B110" s="189" t="s">
        <v>780</v>
      </c>
      <c r="C110" s="189" t="s">
        <v>904</v>
      </c>
      <c r="D110" s="189"/>
      <c r="E110" s="190" t="s">
        <v>601</v>
      </c>
      <c r="F110" s="191" t="s">
        <v>575</v>
      </c>
      <c r="G110" s="252" t="s">
        <v>845</v>
      </c>
      <c r="H110" s="190" t="s">
        <v>602</v>
      </c>
      <c r="I110" s="192" t="s">
        <v>603</v>
      </c>
    </row>
    <row r="111" spans="1:10" s="21" customFormat="1" ht="67.5">
      <c r="A111" s="195" t="s">
        <v>736</v>
      </c>
      <c r="B111" s="195" t="s">
        <v>780</v>
      </c>
      <c r="C111" s="195" t="s">
        <v>908</v>
      </c>
      <c r="D111" s="195"/>
      <c r="E111" s="196" t="s">
        <v>604</v>
      </c>
      <c r="F111" s="184" t="s">
        <v>575</v>
      </c>
      <c r="G111" s="255" t="s">
        <v>845</v>
      </c>
      <c r="H111" s="196" t="s">
        <v>605</v>
      </c>
      <c r="I111" s="197"/>
    </row>
    <row r="112" spans="1:10" s="21" customFormat="1" ht="94.5" customHeight="1">
      <c r="A112" s="257" t="s">
        <v>736</v>
      </c>
      <c r="B112" s="257" t="s">
        <v>780</v>
      </c>
      <c r="C112" s="257" t="s">
        <v>970</v>
      </c>
      <c r="D112" s="257"/>
      <c r="E112" s="235" t="s">
        <v>606</v>
      </c>
      <c r="F112" s="234" t="s">
        <v>575</v>
      </c>
      <c r="G112" s="258" t="s">
        <v>845</v>
      </c>
      <c r="H112" s="235" t="s">
        <v>607</v>
      </c>
      <c r="I112" s="259" t="s">
        <v>608</v>
      </c>
    </row>
    <row r="113" spans="1:10" s="21" customFormat="1" ht="123.75">
      <c r="A113" s="195" t="s">
        <v>736</v>
      </c>
      <c r="B113" s="195" t="s">
        <v>780</v>
      </c>
      <c r="C113" s="195" t="s">
        <v>908</v>
      </c>
      <c r="D113" s="195"/>
      <c r="E113" s="196" t="s">
        <v>505</v>
      </c>
      <c r="F113" s="184" t="s">
        <v>506</v>
      </c>
      <c r="G113" s="252" t="s">
        <v>845</v>
      </c>
      <c r="H113" s="196" t="s">
        <v>507</v>
      </c>
      <c r="I113" s="197" t="s">
        <v>508</v>
      </c>
    </row>
    <row r="114" spans="1:10" s="21" customFormat="1">
      <c r="A114" s="185" t="s">
        <v>736</v>
      </c>
      <c r="B114" s="185" t="s">
        <v>803</v>
      </c>
      <c r="C114" s="185"/>
      <c r="D114" s="185"/>
      <c r="E114" s="260" t="s">
        <v>804</v>
      </c>
      <c r="F114" s="261"/>
      <c r="G114" s="187"/>
      <c r="H114" s="260"/>
      <c r="I114" s="262"/>
    </row>
    <row r="115" spans="1:10" s="21" customFormat="1" ht="67.5" customHeight="1">
      <c r="A115" s="209" t="s">
        <v>736</v>
      </c>
      <c r="B115" s="209" t="s">
        <v>803</v>
      </c>
      <c r="C115" s="209" t="s">
        <v>736</v>
      </c>
      <c r="D115" s="209"/>
      <c r="E115" s="199" t="s">
        <v>609</v>
      </c>
      <c r="F115" s="263"/>
      <c r="G115" s="264"/>
      <c r="H115" s="265"/>
      <c r="I115" s="266"/>
    </row>
    <row r="116" spans="1:10" s="21" customFormat="1" ht="101.25">
      <c r="A116" s="209" t="s">
        <v>736</v>
      </c>
      <c r="B116" s="209" t="s">
        <v>803</v>
      </c>
      <c r="C116" s="209" t="s">
        <v>736</v>
      </c>
      <c r="D116" s="209" t="s">
        <v>737</v>
      </c>
      <c r="E116" s="199" t="s">
        <v>610</v>
      </c>
      <c r="F116" s="200" t="s">
        <v>611</v>
      </c>
      <c r="G116" s="267" t="s">
        <v>845</v>
      </c>
      <c r="H116" s="199" t="s">
        <v>612</v>
      </c>
      <c r="I116" s="201" t="s">
        <v>613</v>
      </c>
    </row>
    <row r="117" spans="1:10" s="26" customFormat="1" ht="112.5">
      <c r="A117" s="209" t="s">
        <v>736</v>
      </c>
      <c r="B117" s="209" t="s">
        <v>803</v>
      </c>
      <c r="C117" s="209" t="s">
        <v>736</v>
      </c>
      <c r="D117" s="209" t="s">
        <v>757</v>
      </c>
      <c r="E117" s="199" t="s">
        <v>614</v>
      </c>
      <c r="F117" s="200" t="s">
        <v>615</v>
      </c>
      <c r="G117" s="267" t="s">
        <v>845</v>
      </c>
      <c r="H117" s="199" t="s">
        <v>616</v>
      </c>
      <c r="I117" s="201" t="s">
        <v>617</v>
      </c>
      <c r="J117" s="70"/>
    </row>
    <row r="118" spans="1:10" s="26" customFormat="1" ht="101.25">
      <c r="A118" s="209" t="s">
        <v>736</v>
      </c>
      <c r="B118" s="209" t="s">
        <v>803</v>
      </c>
      <c r="C118" s="209" t="s">
        <v>736</v>
      </c>
      <c r="D118" s="209" t="s">
        <v>780</v>
      </c>
      <c r="E118" s="199" t="s">
        <v>618</v>
      </c>
      <c r="F118" s="200" t="s">
        <v>611</v>
      </c>
      <c r="G118" s="267" t="s">
        <v>845</v>
      </c>
      <c r="H118" s="199" t="s">
        <v>619</v>
      </c>
      <c r="I118" s="201" t="s">
        <v>617</v>
      </c>
      <c r="J118" s="70"/>
    </row>
    <row r="119" spans="1:10" s="26" customFormat="1" ht="101.25">
      <c r="A119" s="209" t="s">
        <v>736</v>
      </c>
      <c r="B119" s="209" t="s">
        <v>803</v>
      </c>
      <c r="C119" s="209" t="s">
        <v>736</v>
      </c>
      <c r="D119" s="209" t="s">
        <v>803</v>
      </c>
      <c r="E119" s="199" t="s">
        <v>620</v>
      </c>
      <c r="F119" s="200" t="s">
        <v>611</v>
      </c>
      <c r="G119" s="267" t="s">
        <v>845</v>
      </c>
      <c r="H119" s="199" t="s">
        <v>621</v>
      </c>
      <c r="I119" s="201" t="s">
        <v>622</v>
      </c>
    </row>
    <row r="120" spans="1:10" s="26" customFormat="1" ht="38.25" customHeight="1">
      <c r="A120" s="209" t="s">
        <v>736</v>
      </c>
      <c r="B120" s="209" t="s">
        <v>803</v>
      </c>
      <c r="C120" s="209" t="s">
        <v>736</v>
      </c>
      <c r="D120" s="209" t="s">
        <v>810</v>
      </c>
      <c r="E120" s="199" t="s">
        <v>623</v>
      </c>
      <c r="F120" s="200" t="s">
        <v>624</v>
      </c>
      <c r="G120" s="267" t="s">
        <v>845</v>
      </c>
      <c r="H120" s="199" t="s">
        <v>625</v>
      </c>
      <c r="I120" s="201" t="s">
        <v>626</v>
      </c>
    </row>
    <row r="121" spans="1:10" s="26" customFormat="1" ht="22.5" customHeight="1">
      <c r="A121" s="209" t="s">
        <v>736</v>
      </c>
      <c r="B121" s="209" t="s">
        <v>803</v>
      </c>
      <c r="C121" s="209" t="s">
        <v>848</v>
      </c>
      <c r="D121" s="209"/>
      <c r="E121" s="268" t="s">
        <v>627</v>
      </c>
      <c r="F121" s="200" t="s">
        <v>611</v>
      </c>
      <c r="G121" s="267" t="s">
        <v>845</v>
      </c>
      <c r="H121" s="199" t="s">
        <v>628</v>
      </c>
      <c r="I121" s="201" t="s">
        <v>629</v>
      </c>
    </row>
    <row r="122" spans="1:10" s="26" customFormat="1" ht="50.25" customHeight="1">
      <c r="A122" s="209" t="s">
        <v>736</v>
      </c>
      <c r="B122" s="209" t="s">
        <v>803</v>
      </c>
      <c r="C122" s="209" t="s">
        <v>859</v>
      </c>
      <c r="D122" s="209"/>
      <c r="E122" s="199" t="s">
        <v>630</v>
      </c>
      <c r="F122" s="200" t="s">
        <v>631</v>
      </c>
      <c r="G122" s="267" t="s">
        <v>845</v>
      </c>
      <c r="H122" s="199" t="s">
        <v>632</v>
      </c>
      <c r="I122" s="201" t="s">
        <v>633</v>
      </c>
    </row>
    <row r="123" spans="1:10" s="26" customFormat="1" ht="47.25" customHeight="1">
      <c r="A123" s="202" t="s">
        <v>736</v>
      </c>
      <c r="B123" s="202" t="s">
        <v>810</v>
      </c>
      <c r="C123" s="269"/>
      <c r="D123" s="269"/>
      <c r="E123" s="203" t="s">
        <v>811</v>
      </c>
      <c r="F123" s="204"/>
      <c r="G123" s="204"/>
      <c r="H123" s="203"/>
      <c r="I123" s="270"/>
    </row>
    <row r="124" spans="1:10" s="26" customFormat="1" ht="34.5" customHeight="1">
      <c r="A124" s="206" t="s">
        <v>736</v>
      </c>
      <c r="B124" s="206" t="s">
        <v>810</v>
      </c>
      <c r="C124" s="206" t="s">
        <v>736</v>
      </c>
      <c r="D124" s="206"/>
      <c r="E124" s="198" t="s">
        <v>634</v>
      </c>
      <c r="F124" s="207"/>
      <c r="G124" s="271"/>
      <c r="H124" s="198"/>
      <c r="I124" s="272"/>
    </row>
    <row r="125" spans="1:10" s="146" customFormat="1" ht="50.25" customHeight="1">
      <c r="A125" s="189" t="s">
        <v>736</v>
      </c>
      <c r="B125" s="189" t="s">
        <v>810</v>
      </c>
      <c r="C125" s="189" t="s">
        <v>736</v>
      </c>
      <c r="D125" s="189" t="s">
        <v>737</v>
      </c>
      <c r="E125" s="190" t="s">
        <v>635</v>
      </c>
      <c r="F125" s="191" t="s">
        <v>636</v>
      </c>
      <c r="G125" s="271" t="s">
        <v>845</v>
      </c>
      <c r="H125" s="190" t="s">
        <v>637</v>
      </c>
      <c r="I125" s="192" t="s">
        <v>638</v>
      </c>
    </row>
    <row r="126" spans="1:10" s="26" customFormat="1" ht="57.75" customHeight="1">
      <c r="A126" s="189" t="s">
        <v>736</v>
      </c>
      <c r="B126" s="189" t="s">
        <v>810</v>
      </c>
      <c r="C126" s="189" t="s">
        <v>736</v>
      </c>
      <c r="D126" s="189" t="s">
        <v>803</v>
      </c>
      <c r="E126" s="190" t="s">
        <v>642</v>
      </c>
      <c r="F126" s="191" t="s">
        <v>851</v>
      </c>
      <c r="G126" s="271" t="s">
        <v>845</v>
      </c>
      <c r="H126" s="190" t="s">
        <v>643</v>
      </c>
      <c r="I126" s="192" t="s">
        <v>638</v>
      </c>
    </row>
    <row r="127" spans="1:10" s="26" customFormat="1" ht="14.25" customHeight="1">
      <c r="A127" s="189" t="s">
        <v>736</v>
      </c>
      <c r="B127" s="189" t="s">
        <v>810</v>
      </c>
      <c r="C127" s="189" t="s">
        <v>848</v>
      </c>
      <c r="D127" s="189"/>
      <c r="E127" s="190" t="s">
        <v>644</v>
      </c>
      <c r="F127" s="191" t="s">
        <v>645</v>
      </c>
      <c r="G127" s="271" t="s">
        <v>845</v>
      </c>
      <c r="H127" s="190"/>
      <c r="I127" s="192"/>
    </row>
    <row r="128" spans="1:10" s="21" customFormat="1" ht="56.25">
      <c r="A128" s="189" t="s">
        <v>736</v>
      </c>
      <c r="B128" s="189" t="s">
        <v>810</v>
      </c>
      <c r="C128" s="189" t="s">
        <v>848</v>
      </c>
      <c r="D128" s="189" t="s">
        <v>737</v>
      </c>
      <c r="E128" s="190" t="s">
        <v>646</v>
      </c>
      <c r="F128" s="191" t="s">
        <v>647</v>
      </c>
      <c r="G128" s="271" t="s">
        <v>845</v>
      </c>
      <c r="H128" s="190" t="s">
        <v>648</v>
      </c>
      <c r="I128" s="192" t="s">
        <v>638</v>
      </c>
    </row>
    <row r="129" spans="1:10" s="21" customFormat="1" ht="33.75">
      <c r="A129" s="189" t="s">
        <v>736</v>
      </c>
      <c r="B129" s="189" t="s">
        <v>810</v>
      </c>
      <c r="C129" s="189" t="s">
        <v>848</v>
      </c>
      <c r="D129" s="189" t="s">
        <v>757</v>
      </c>
      <c r="E129" s="190" t="s">
        <v>649</v>
      </c>
      <c r="F129" s="191" t="s">
        <v>650</v>
      </c>
      <c r="G129" s="271" t="s">
        <v>845</v>
      </c>
      <c r="H129" s="190" t="s">
        <v>640</v>
      </c>
      <c r="I129" s="192" t="s">
        <v>638</v>
      </c>
    </row>
    <row r="130" spans="1:10" s="26" customFormat="1" ht="28.5" customHeight="1">
      <c r="A130" s="189" t="s">
        <v>736</v>
      </c>
      <c r="B130" s="189" t="s">
        <v>810</v>
      </c>
      <c r="C130" s="189" t="s">
        <v>848</v>
      </c>
      <c r="D130" s="189" t="s">
        <v>780</v>
      </c>
      <c r="E130" s="190" t="s">
        <v>509</v>
      </c>
      <c r="F130" s="191" t="s">
        <v>651</v>
      </c>
      <c r="G130" s="271" t="s">
        <v>845</v>
      </c>
      <c r="H130" s="190" t="s">
        <v>652</v>
      </c>
      <c r="I130" s="192" t="s">
        <v>638</v>
      </c>
      <c r="J130" s="70"/>
    </row>
    <row r="131" spans="1:10" s="26" customFormat="1" ht="39" customHeight="1">
      <c r="A131" s="189" t="s">
        <v>736</v>
      </c>
      <c r="B131" s="189" t="s">
        <v>810</v>
      </c>
      <c r="C131" s="189" t="s">
        <v>859</v>
      </c>
      <c r="D131" s="189"/>
      <c r="E131" s="190" t="s">
        <v>653</v>
      </c>
      <c r="F131" s="191" t="s">
        <v>654</v>
      </c>
      <c r="G131" s="271" t="s">
        <v>845</v>
      </c>
      <c r="H131" s="190" t="s">
        <v>655</v>
      </c>
      <c r="I131" s="192" t="s">
        <v>638</v>
      </c>
      <c r="J131" s="70"/>
    </row>
    <row r="132" spans="1:10" s="26" customFormat="1" ht="21">
      <c r="A132" s="202" t="s">
        <v>736</v>
      </c>
      <c r="B132" s="202" t="s">
        <v>815</v>
      </c>
      <c r="C132" s="202"/>
      <c r="D132" s="202"/>
      <c r="E132" s="203" t="s">
        <v>656</v>
      </c>
      <c r="F132" s="204"/>
      <c r="G132" s="204"/>
      <c r="H132" s="203"/>
      <c r="I132" s="247"/>
      <c r="J132" s="70"/>
    </row>
    <row r="133" spans="1:10" s="26" customFormat="1" ht="60.75" customHeight="1">
      <c r="A133" s="189" t="s">
        <v>736</v>
      </c>
      <c r="B133" s="189" t="s">
        <v>815</v>
      </c>
      <c r="C133" s="189" t="s">
        <v>736</v>
      </c>
      <c r="D133" s="189"/>
      <c r="E133" s="190" t="s">
        <v>657</v>
      </c>
      <c r="F133" s="252"/>
      <c r="G133" s="252"/>
      <c r="H133" s="190"/>
      <c r="I133" s="192"/>
      <c r="J133" s="70"/>
    </row>
    <row r="134" spans="1:10" s="26" customFormat="1" ht="62.25" customHeight="1">
      <c r="A134" s="189" t="s">
        <v>736</v>
      </c>
      <c r="B134" s="189" t="s">
        <v>815</v>
      </c>
      <c r="C134" s="189" t="s">
        <v>736</v>
      </c>
      <c r="D134" s="189" t="s">
        <v>737</v>
      </c>
      <c r="E134" s="194" t="s">
        <v>658</v>
      </c>
      <c r="F134" s="191" t="s">
        <v>542</v>
      </c>
      <c r="G134" s="252" t="s">
        <v>659</v>
      </c>
      <c r="H134" s="190" t="s">
        <v>660</v>
      </c>
      <c r="I134" s="192" t="s">
        <v>661</v>
      </c>
      <c r="J134" s="70"/>
    </row>
    <row r="135" spans="1:10" s="26" customFormat="1" ht="14.25" customHeight="1">
      <c r="A135" s="189" t="s">
        <v>736</v>
      </c>
      <c r="B135" s="189" t="s">
        <v>815</v>
      </c>
      <c r="C135" s="189" t="s">
        <v>848</v>
      </c>
      <c r="D135" s="189"/>
      <c r="E135" s="190" t="s">
        <v>662</v>
      </c>
      <c r="F135" s="191"/>
      <c r="G135" s="252"/>
      <c r="H135" s="190"/>
      <c r="I135" s="192"/>
      <c r="J135" s="70"/>
    </row>
    <row r="136" spans="1:10" s="26" customFormat="1" ht="70.5" customHeight="1">
      <c r="A136" s="189" t="s">
        <v>736</v>
      </c>
      <c r="B136" s="189" t="s">
        <v>815</v>
      </c>
      <c r="C136" s="189" t="s">
        <v>848</v>
      </c>
      <c r="D136" s="189" t="s">
        <v>737</v>
      </c>
      <c r="E136" s="190" t="s">
        <v>663</v>
      </c>
      <c r="F136" s="191" t="s">
        <v>542</v>
      </c>
      <c r="G136" s="252" t="s">
        <v>845</v>
      </c>
      <c r="H136" s="190" t="s">
        <v>664</v>
      </c>
      <c r="I136" s="192" t="s">
        <v>661</v>
      </c>
      <c r="J136" s="70"/>
    </row>
    <row r="137" spans="1:10" s="26" customFormat="1" ht="130.5" customHeight="1">
      <c r="A137" s="189" t="s">
        <v>736</v>
      </c>
      <c r="B137" s="189" t="s">
        <v>815</v>
      </c>
      <c r="C137" s="189" t="s">
        <v>848</v>
      </c>
      <c r="D137" s="189" t="s">
        <v>757</v>
      </c>
      <c r="E137" s="194" t="s">
        <v>665</v>
      </c>
      <c r="F137" s="191" t="s">
        <v>666</v>
      </c>
      <c r="G137" s="252" t="s">
        <v>845</v>
      </c>
      <c r="H137" s="190" t="s">
        <v>667</v>
      </c>
      <c r="I137" s="192" t="s">
        <v>668</v>
      </c>
      <c r="J137" s="70"/>
    </row>
    <row r="138" spans="1:10" s="26" customFormat="1" ht="37.5" customHeight="1">
      <c r="A138" s="189" t="s">
        <v>736</v>
      </c>
      <c r="B138" s="189" t="s">
        <v>815</v>
      </c>
      <c r="C138" s="189" t="s">
        <v>848</v>
      </c>
      <c r="D138" s="189" t="s">
        <v>780</v>
      </c>
      <c r="E138" s="190" t="s">
        <v>669</v>
      </c>
      <c r="F138" s="191" t="s">
        <v>666</v>
      </c>
      <c r="G138" s="252" t="s">
        <v>845</v>
      </c>
      <c r="H138" s="190" t="s">
        <v>670</v>
      </c>
      <c r="I138" s="192"/>
      <c r="J138" s="70"/>
    </row>
    <row r="139" spans="1:10" s="26" customFormat="1" ht="19.5" customHeight="1">
      <c r="A139" s="189" t="s">
        <v>736</v>
      </c>
      <c r="B139" s="189" t="s">
        <v>815</v>
      </c>
      <c r="C139" s="189" t="s">
        <v>848</v>
      </c>
      <c r="D139" s="189" t="s">
        <v>803</v>
      </c>
      <c r="E139" s="190" t="s">
        <v>671</v>
      </c>
      <c r="F139" s="191" t="s">
        <v>672</v>
      </c>
      <c r="G139" s="252" t="s">
        <v>845</v>
      </c>
      <c r="H139" s="190" t="s">
        <v>673</v>
      </c>
      <c r="I139" s="192"/>
      <c r="J139" s="70"/>
    </row>
    <row r="140" spans="1:10" s="26" customFormat="1" ht="105.75" customHeight="1">
      <c r="A140" s="189" t="s">
        <v>736</v>
      </c>
      <c r="B140" s="189" t="s">
        <v>815</v>
      </c>
      <c r="C140" s="189" t="s">
        <v>859</v>
      </c>
      <c r="D140" s="189"/>
      <c r="E140" s="190" t="s">
        <v>674</v>
      </c>
      <c r="F140" s="191"/>
      <c r="G140" s="252"/>
      <c r="H140" s="190"/>
      <c r="I140" s="192"/>
      <c r="J140" s="70"/>
    </row>
    <row r="141" spans="1:10" s="26" customFormat="1" ht="67.5">
      <c r="A141" s="189" t="s">
        <v>736</v>
      </c>
      <c r="B141" s="189" t="s">
        <v>815</v>
      </c>
      <c r="C141" s="189" t="s">
        <v>859</v>
      </c>
      <c r="D141" s="189" t="s">
        <v>737</v>
      </c>
      <c r="E141" s="190" t="s">
        <v>675</v>
      </c>
      <c r="F141" s="191" t="s">
        <v>851</v>
      </c>
      <c r="G141" s="252" t="s">
        <v>845</v>
      </c>
      <c r="H141" s="190" t="s">
        <v>676</v>
      </c>
      <c r="I141" s="192" t="s">
        <v>677</v>
      </c>
      <c r="J141" s="70"/>
    </row>
    <row r="142" spans="1:10" s="26" customFormat="1" ht="36" customHeight="1">
      <c r="A142" s="189" t="s">
        <v>736</v>
      </c>
      <c r="B142" s="189" t="s">
        <v>815</v>
      </c>
      <c r="C142" s="189" t="s">
        <v>865</v>
      </c>
      <c r="D142" s="189"/>
      <c r="E142" s="190" t="s">
        <v>678</v>
      </c>
      <c r="F142" s="191" t="s">
        <v>851</v>
      </c>
      <c r="G142" s="252" t="s">
        <v>845</v>
      </c>
      <c r="H142" s="190" t="s">
        <v>679</v>
      </c>
      <c r="I142" s="192" t="s">
        <v>680</v>
      </c>
      <c r="J142" s="70"/>
    </row>
    <row r="143" spans="1:10" s="26" customFormat="1" ht="35.25" customHeight="1">
      <c r="A143" s="189" t="s">
        <v>736</v>
      </c>
      <c r="B143" s="189" t="s">
        <v>815</v>
      </c>
      <c r="C143" s="189" t="s">
        <v>869</v>
      </c>
      <c r="D143" s="189"/>
      <c r="E143" s="190" t="s">
        <v>681</v>
      </c>
      <c r="F143" s="191" t="s">
        <v>851</v>
      </c>
      <c r="G143" s="252" t="s">
        <v>845</v>
      </c>
      <c r="H143" s="190" t="s">
        <v>682</v>
      </c>
      <c r="I143" s="192" t="s">
        <v>677</v>
      </c>
      <c r="J143" s="70"/>
    </row>
    <row r="144" spans="1:10" s="26" customFormat="1" ht="49.5" customHeight="1">
      <c r="A144" s="189" t="s">
        <v>736</v>
      </c>
      <c r="B144" s="189" t="s">
        <v>815</v>
      </c>
      <c r="C144" s="189" t="s">
        <v>883</v>
      </c>
      <c r="D144" s="189"/>
      <c r="E144" s="190" t="s">
        <v>683</v>
      </c>
      <c r="F144" s="191"/>
      <c r="G144" s="252"/>
      <c r="H144" s="190"/>
      <c r="I144" s="192"/>
      <c r="J144" s="70"/>
    </row>
    <row r="145" spans="1:10" s="26" customFormat="1" ht="81" customHeight="1">
      <c r="A145" s="189" t="s">
        <v>736</v>
      </c>
      <c r="B145" s="189" t="s">
        <v>815</v>
      </c>
      <c r="C145" s="189" t="s">
        <v>883</v>
      </c>
      <c r="D145" s="189" t="s">
        <v>737</v>
      </c>
      <c r="E145" s="190" t="s">
        <v>684</v>
      </c>
      <c r="F145" s="191" t="s">
        <v>685</v>
      </c>
      <c r="G145" s="252" t="s">
        <v>845</v>
      </c>
      <c r="H145" s="190" t="s">
        <v>686</v>
      </c>
      <c r="I145" s="192"/>
    </row>
    <row r="146" spans="1:10" s="26" customFormat="1" ht="72.75" customHeight="1">
      <c r="A146" s="189" t="s">
        <v>736</v>
      </c>
      <c r="B146" s="189" t="s">
        <v>815</v>
      </c>
      <c r="C146" s="189" t="s">
        <v>883</v>
      </c>
      <c r="D146" s="189" t="s">
        <v>757</v>
      </c>
      <c r="E146" s="190" t="s">
        <v>687</v>
      </c>
      <c r="F146" s="191" t="s">
        <v>851</v>
      </c>
      <c r="G146" s="252" t="s">
        <v>845</v>
      </c>
      <c r="H146" s="190" t="s">
        <v>688</v>
      </c>
      <c r="I146" s="192" t="s">
        <v>689</v>
      </c>
    </row>
    <row r="147" spans="1:10" s="26" customFormat="1" ht="128.25" customHeight="1">
      <c r="A147" s="189" t="s">
        <v>736</v>
      </c>
      <c r="B147" s="189" t="s">
        <v>815</v>
      </c>
      <c r="C147" s="189" t="s">
        <v>883</v>
      </c>
      <c r="D147" s="189" t="s">
        <v>780</v>
      </c>
      <c r="E147" s="190" t="s">
        <v>690</v>
      </c>
      <c r="F147" s="191" t="s">
        <v>851</v>
      </c>
      <c r="G147" s="252" t="s">
        <v>845</v>
      </c>
      <c r="H147" s="190" t="s">
        <v>691</v>
      </c>
      <c r="I147" s="192"/>
      <c r="J147" s="70"/>
    </row>
    <row r="148" spans="1:10" s="26" customFormat="1" ht="34.5" customHeight="1">
      <c r="A148" s="189" t="s">
        <v>736</v>
      </c>
      <c r="B148" s="189" t="s">
        <v>815</v>
      </c>
      <c r="C148" s="189" t="s">
        <v>886</v>
      </c>
      <c r="D148" s="189"/>
      <c r="E148" s="190" t="s">
        <v>692</v>
      </c>
      <c r="F148" s="191" t="s">
        <v>851</v>
      </c>
      <c r="G148" s="252" t="s">
        <v>845</v>
      </c>
      <c r="H148" s="190" t="s">
        <v>693</v>
      </c>
      <c r="I148" s="192"/>
      <c r="J148" s="70"/>
    </row>
    <row r="149" spans="1:10" s="26" customFormat="1" ht="105" customHeight="1">
      <c r="A149" s="189" t="s">
        <v>736</v>
      </c>
      <c r="B149" s="189" t="s">
        <v>815</v>
      </c>
      <c r="C149" s="189" t="s">
        <v>886</v>
      </c>
      <c r="D149" s="189" t="s">
        <v>737</v>
      </c>
      <c r="E149" s="190" t="s">
        <v>694</v>
      </c>
      <c r="F149" s="191" t="s">
        <v>851</v>
      </c>
      <c r="G149" s="252" t="s">
        <v>845</v>
      </c>
      <c r="H149" s="190" t="s">
        <v>695</v>
      </c>
      <c r="I149" s="192"/>
      <c r="J149" s="70"/>
    </row>
    <row r="150" spans="1:10" s="26" customFormat="1" ht="47.25" customHeight="1">
      <c r="A150" s="189" t="s">
        <v>736</v>
      </c>
      <c r="B150" s="189" t="s">
        <v>815</v>
      </c>
      <c r="C150" s="189" t="s">
        <v>886</v>
      </c>
      <c r="D150" s="189" t="s">
        <v>757</v>
      </c>
      <c r="E150" s="190" t="s">
        <v>696</v>
      </c>
      <c r="F150" s="191" t="s">
        <v>851</v>
      </c>
      <c r="G150" s="252" t="s">
        <v>845</v>
      </c>
      <c r="H150" s="190" t="s">
        <v>697</v>
      </c>
      <c r="I150" s="192"/>
      <c r="J150" s="70"/>
    </row>
    <row r="151" spans="1:10" s="26" customFormat="1" ht="12.75" customHeight="1">
      <c r="A151" s="189" t="s">
        <v>736</v>
      </c>
      <c r="B151" s="189" t="s">
        <v>815</v>
      </c>
      <c r="C151" s="189" t="s">
        <v>895</v>
      </c>
      <c r="D151" s="189"/>
      <c r="E151" s="190" t="s">
        <v>698</v>
      </c>
      <c r="F151" s="191" t="s">
        <v>851</v>
      </c>
      <c r="G151" s="252" t="s">
        <v>845</v>
      </c>
      <c r="H151" s="190" t="s">
        <v>699</v>
      </c>
      <c r="I151" s="192" t="s">
        <v>700</v>
      </c>
      <c r="J151" s="70"/>
    </row>
    <row r="152" spans="1:10" s="26" customFormat="1" ht="46.5" customHeight="1">
      <c r="A152" s="189" t="s">
        <v>736</v>
      </c>
      <c r="B152" s="189" t="s">
        <v>815</v>
      </c>
      <c r="C152" s="189" t="s">
        <v>904</v>
      </c>
      <c r="D152" s="189"/>
      <c r="E152" s="190" t="s">
        <v>701</v>
      </c>
      <c r="F152" s="191" t="s">
        <v>851</v>
      </c>
      <c r="G152" s="252" t="s">
        <v>845</v>
      </c>
      <c r="H152" s="190" t="s">
        <v>702</v>
      </c>
      <c r="I152" s="192"/>
      <c r="J152" s="70"/>
    </row>
    <row r="153" spans="1:10" s="26" customFormat="1" ht="48.75" customHeight="1">
      <c r="A153" s="189" t="s">
        <v>736</v>
      </c>
      <c r="B153" s="189" t="s">
        <v>815</v>
      </c>
      <c r="C153" s="189" t="s">
        <v>908</v>
      </c>
      <c r="D153" s="189"/>
      <c r="E153" s="190" t="s">
        <v>703</v>
      </c>
      <c r="F153" s="191" t="s">
        <v>901</v>
      </c>
      <c r="G153" s="252" t="s">
        <v>845</v>
      </c>
      <c r="H153" s="190" t="s">
        <v>704</v>
      </c>
      <c r="I153" s="192"/>
      <c r="J153" s="70"/>
    </row>
    <row r="154" spans="1:10" s="26" customFormat="1" ht="47.25" customHeight="1">
      <c r="A154" s="189" t="s">
        <v>736</v>
      </c>
      <c r="B154" s="189" t="s">
        <v>815</v>
      </c>
      <c r="C154" s="189" t="s">
        <v>917</v>
      </c>
      <c r="D154" s="189"/>
      <c r="E154" s="198" t="s">
        <v>705</v>
      </c>
      <c r="F154" s="191" t="s">
        <v>844</v>
      </c>
      <c r="G154" s="252" t="s">
        <v>845</v>
      </c>
      <c r="H154" s="190" t="s">
        <v>0</v>
      </c>
      <c r="I154" s="220"/>
      <c r="J154" s="70"/>
    </row>
    <row r="155" spans="1:10" s="26" customFormat="1" ht="105.75" customHeight="1">
      <c r="A155" s="189" t="s">
        <v>736</v>
      </c>
      <c r="B155" s="189" t="s">
        <v>815</v>
      </c>
      <c r="C155" s="189" t="s">
        <v>923</v>
      </c>
      <c r="D155" s="189"/>
      <c r="E155" s="190" t="s">
        <v>1</v>
      </c>
      <c r="F155" s="191" t="s">
        <v>666</v>
      </c>
      <c r="G155" s="252" t="s">
        <v>845</v>
      </c>
      <c r="H155" s="190" t="s">
        <v>2</v>
      </c>
      <c r="I155" s="220"/>
      <c r="J155" s="70"/>
    </row>
    <row r="156" spans="1:10" s="26" customFormat="1" ht="47.25" customHeight="1">
      <c r="A156" s="189" t="s">
        <v>736</v>
      </c>
      <c r="B156" s="189" t="s">
        <v>815</v>
      </c>
      <c r="C156" s="189" t="s">
        <v>3</v>
      </c>
      <c r="D156" s="189"/>
      <c r="E156" s="190" t="s">
        <v>4</v>
      </c>
      <c r="F156" s="191"/>
      <c r="G156" s="252"/>
      <c r="H156" s="190"/>
      <c r="I156" s="220"/>
      <c r="J156" s="70"/>
    </row>
    <row r="157" spans="1:10" s="73" customFormat="1" ht="60.75" customHeight="1">
      <c r="A157" s="189" t="s">
        <v>736</v>
      </c>
      <c r="B157" s="189" t="s">
        <v>815</v>
      </c>
      <c r="C157" s="189" t="s">
        <v>3</v>
      </c>
      <c r="D157" s="189" t="s">
        <v>737</v>
      </c>
      <c r="E157" s="273" t="s">
        <v>5</v>
      </c>
      <c r="F157" s="191" t="s">
        <v>666</v>
      </c>
      <c r="G157" s="252" t="s">
        <v>845</v>
      </c>
      <c r="H157" s="190" t="s">
        <v>6</v>
      </c>
      <c r="I157" s="220"/>
      <c r="J157" s="77"/>
    </row>
    <row r="158" spans="1:10" s="73" customFormat="1" ht="60.75" customHeight="1">
      <c r="A158" s="189" t="s">
        <v>736</v>
      </c>
      <c r="B158" s="189" t="s">
        <v>815</v>
      </c>
      <c r="C158" s="189" t="s">
        <v>3</v>
      </c>
      <c r="D158" s="189" t="s">
        <v>757</v>
      </c>
      <c r="E158" s="190" t="s">
        <v>7</v>
      </c>
      <c r="F158" s="191" t="s">
        <v>666</v>
      </c>
      <c r="G158" s="252" t="s">
        <v>845</v>
      </c>
      <c r="H158" s="190" t="s">
        <v>8</v>
      </c>
      <c r="I158" s="220"/>
      <c r="J158" s="77"/>
    </row>
    <row r="159" spans="1:10" s="26" customFormat="1" ht="48.75" customHeight="1">
      <c r="A159" s="189" t="s">
        <v>736</v>
      </c>
      <c r="B159" s="189" t="s">
        <v>815</v>
      </c>
      <c r="C159" s="189" t="s">
        <v>3</v>
      </c>
      <c r="D159" s="189" t="s">
        <v>780</v>
      </c>
      <c r="E159" s="190" t="s">
        <v>9</v>
      </c>
      <c r="F159" s="191" t="s">
        <v>666</v>
      </c>
      <c r="G159" s="252" t="s">
        <v>845</v>
      </c>
      <c r="H159" s="190" t="s">
        <v>10</v>
      </c>
      <c r="I159" s="220"/>
      <c r="J159" s="70"/>
    </row>
    <row r="160" spans="1:10" s="26" customFormat="1" ht="59.25" customHeight="1">
      <c r="A160" s="189" t="s">
        <v>736</v>
      </c>
      <c r="B160" s="189" t="s">
        <v>815</v>
      </c>
      <c r="C160" s="189" t="s">
        <v>3</v>
      </c>
      <c r="D160" s="189" t="s">
        <v>803</v>
      </c>
      <c r="E160" s="190" t="s">
        <v>11</v>
      </c>
      <c r="F160" s="191" t="s">
        <v>666</v>
      </c>
      <c r="G160" s="252" t="s">
        <v>845</v>
      </c>
      <c r="H160" s="190" t="s">
        <v>12</v>
      </c>
      <c r="I160" s="220"/>
      <c r="J160" s="70"/>
    </row>
    <row r="161" spans="1:10" s="26" customFormat="1" ht="48.75" customHeight="1">
      <c r="A161" s="189" t="s">
        <v>736</v>
      </c>
      <c r="B161" s="189" t="s">
        <v>815</v>
      </c>
      <c r="C161" s="189" t="s">
        <v>3</v>
      </c>
      <c r="D161" s="189" t="s">
        <v>810</v>
      </c>
      <c r="E161" s="190" t="s">
        <v>13</v>
      </c>
      <c r="F161" s="191" t="s">
        <v>666</v>
      </c>
      <c r="G161" s="252" t="s">
        <v>845</v>
      </c>
      <c r="H161" s="190" t="s">
        <v>14</v>
      </c>
      <c r="I161" s="220"/>
      <c r="J161" s="70"/>
    </row>
    <row r="162" spans="1:10" s="26" customFormat="1" ht="60.75" customHeight="1">
      <c r="A162" s="206" t="s">
        <v>736</v>
      </c>
      <c r="B162" s="206" t="s">
        <v>815</v>
      </c>
      <c r="C162" s="206" t="s">
        <v>3</v>
      </c>
      <c r="D162" s="206" t="s">
        <v>815</v>
      </c>
      <c r="E162" s="198" t="s">
        <v>15</v>
      </c>
      <c r="F162" s="207" t="s">
        <v>666</v>
      </c>
      <c r="G162" s="252" t="s">
        <v>845</v>
      </c>
      <c r="H162" s="198" t="s">
        <v>16</v>
      </c>
      <c r="I162" s="274"/>
      <c r="J162" s="70"/>
    </row>
    <row r="163" spans="1:10" s="26" customFormat="1" ht="82.5" customHeight="1">
      <c r="A163" s="195" t="s">
        <v>736</v>
      </c>
      <c r="B163" s="195" t="s">
        <v>815</v>
      </c>
      <c r="C163" s="195" t="s">
        <v>3</v>
      </c>
      <c r="D163" s="195" t="s">
        <v>513</v>
      </c>
      <c r="E163" s="196" t="s">
        <v>17</v>
      </c>
      <c r="F163" s="184" t="s">
        <v>851</v>
      </c>
      <c r="G163" s="255" t="s">
        <v>845</v>
      </c>
      <c r="H163" s="196" t="s">
        <v>18</v>
      </c>
      <c r="I163" s="274"/>
      <c r="J163" s="84"/>
    </row>
    <row r="164" spans="1:10" s="26" customFormat="1" ht="70.5" customHeight="1">
      <c r="A164" s="189" t="s">
        <v>736</v>
      </c>
      <c r="B164" s="189" t="s">
        <v>815</v>
      </c>
      <c r="C164" s="189" t="s">
        <v>19</v>
      </c>
      <c r="D164" s="252"/>
      <c r="E164" s="190" t="s">
        <v>20</v>
      </c>
      <c r="F164" s="191" t="s">
        <v>666</v>
      </c>
      <c r="G164" s="252" t="s">
        <v>845</v>
      </c>
      <c r="H164" s="190" t="s">
        <v>20</v>
      </c>
      <c r="I164" s="275"/>
      <c r="J164" s="84"/>
    </row>
    <row r="165" spans="1:10" s="26" customFormat="1" ht="51" customHeight="1">
      <c r="A165" s="189" t="s">
        <v>736</v>
      </c>
      <c r="B165" s="189" t="s">
        <v>815</v>
      </c>
      <c r="C165" s="189" t="s">
        <v>19</v>
      </c>
      <c r="D165" s="252">
        <v>1</v>
      </c>
      <c r="E165" s="190" t="s">
        <v>21</v>
      </c>
      <c r="F165" s="191" t="s">
        <v>666</v>
      </c>
      <c r="G165" s="252" t="s">
        <v>845</v>
      </c>
      <c r="H165" s="190" t="s">
        <v>22</v>
      </c>
      <c r="I165" s="276"/>
      <c r="J165" s="84"/>
    </row>
    <row r="166" spans="1:10" s="26" customFormat="1" ht="56.25">
      <c r="A166" s="206" t="s">
        <v>736</v>
      </c>
      <c r="B166" s="206" t="s">
        <v>815</v>
      </c>
      <c r="C166" s="206" t="s">
        <v>23</v>
      </c>
      <c r="D166" s="271"/>
      <c r="E166" s="198" t="s">
        <v>24</v>
      </c>
      <c r="F166" s="207" t="s">
        <v>666</v>
      </c>
      <c r="G166" s="252" t="s">
        <v>845</v>
      </c>
      <c r="H166" s="198" t="s">
        <v>25</v>
      </c>
      <c r="I166" s="277"/>
      <c r="J166" s="84"/>
    </row>
    <row r="167" spans="1:10" s="26" customFormat="1" ht="45" customHeight="1">
      <c r="A167" s="189" t="s">
        <v>736</v>
      </c>
      <c r="B167" s="189" t="s">
        <v>815</v>
      </c>
      <c r="C167" s="189" t="s">
        <v>23</v>
      </c>
      <c r="D167" s="252">
        <v>1</v>
      </c>
      <c r="E167" s="198" t="s">
        <v>26</v>
      </c>
      <c r="F167" s="207" t="s">
        <v>542</v>
      </c>
      <c r="G167" s="252" t="s">
        <v>845</v>
      </c>
      <c r="H167" s="190" t="s">
        <v>27</v>
      </c>
      <c r="I167" s="220"/>
      <c r="J167" s="84"/>
    </row>
    <row r="168" spans="1:10" s="26" customFormat="1" ht="78.75">
      <c r="A168" s="206" t="s">
        <v>736</v>
      </c>
      <c r="B168" s="206" t="s">
        <v>815</v>
      </c>
      <c r="C168" s="206" t="s">
        <v>23</v>
      </c>
      <c r="D168" s="271">
        <v>2</v>
      </c>
      <c r="E168" s="198" t="s">
        <v>28</v>
      </c>
      <c r="F168" s="207" t="s">
        <v>542</v>
      </c>
      <c r="G168" s="252" t="s">
        <v>845</v>
      </c>
      <c r="H168" s="198" t="s">
        <v>29</v>
      </c>
      <c r="I168" s="274"/>
      <c r="J168" s="84"/>
    </row>
    <row r="169" spans="1:10" s="26" customFormat="1" ht="67.5">
      <c r="A169" s="206" t="s">
        <v>736</v>
      </c>
      <c r="B169" s="206" t="s">
        <v>815</v>
      </c>
      <c r="C169" s="206" t="s">
        <v>23</v>
      </c>
      <c r="D169" s="271">
        <v>3</v>
      </c>
      <c r="E169" s="198" t="s">
        <v>30</v>
      </c>
      <c r="F169" s="207" t="s">
        <v>542</v>
      </c>
      <c r="G169" s="252" t="s">
        <v>845</v>
      </c>
      <c r="H169" s="198" t="s">
        <v>31</v>
      </c>
      <c r="I169" s="274"/>
    </row>
    <row r="170" spans="1:10" ht="45">
      <c r="A170" s="189" t="s">
        <v>736</v>
      </c>
      <c r="B170" s="189" t="s">
        <v>815</v>
      </c>
      <c r="C170" s="189" t="s">
        <v>23</v>
      </c>
      <c r="D170" s="252">
        <v>4</v>
      </c>
      <c r="E170" s="198" t="s">
        <v>32</v>
      </c>
      <c r="F170" s="191" t="s">
        <v>542</v>
      </c>
      <c r="G170" s="252" t="s">
        <v>845</v>
      </c>
      <c r="H170" s="190" t="s">
        <v>33</v>
      </c>
      <c r="I170" s="220"/>
    </row>
    <row r="171" spans="1:10" ht="45">
      <c r="A171" s="189" t="s">
        <v>736</v>
      </c>
      <c r="B171" s="189" t="s">
        <v>815</v>
      </c>
      <c r="C171" s="189" t="s">
        <v>23</v>
      </c>
      <c r="D171" s="252">
        <v>5</v>
      </c>
      <c r="E171" s="190" t="s">
        <v>34</v>
      </c>
      <c r="F171" s="191" t="s">
        <v>542</v>
      </c>
      <c r="G171" s="252" t="s">
        <v>845</v>
      </c>
      <c r="H171" s="190" t="s">
        <v>35</v>
      </c>
      <c r="I171" s="220"/>
    </row>
    <row r="172" spans="1:10" ht="63">
      <c r="A172" s="242" t="s">
        <v>736</v>
      </c>
      <c r="B172" s="258">
        <v>6</v>
      </c>
      <c r="C172" s="258">
        <v>18</v>
      </c>
      <c r="D172" s="258"/>
      <c r="E172" s="243" t="s">
        <v>971</v>
      </c>
      <c r="F172" s="234" t="s">
        <v>542</v>
      </c>
      <c r="G172" s="258" t="s">
        <v>845</v>
      </c>
      <c r="H172" s="235"/>
      <c r="I172" s="246" t="s">
        <v>972</v>
      </c>
    </row>
    <row r="173" spans="1:10" ht="33.75">
      <c r="A173" s="242" t="s">
        <v>736</v>
      </c>
      <c r="B173" s="242" t="s">
        <v>815</v>
      </c>
      <c r="C173" s="242" t="s">
        <v>968</v>
      </c>
      <c r="D173" s="278"/>
      <c r="E173" s="243" t="s">
        <v>973</v>
      </c>
      <c r="F173" s="244" t="s">
        <v>542</v>
      </c>
      <c r="G173" s="278" t="s">
        <v>845</v>
      </c>
      <c r="H173" s="243"/>
      <c r="I173" s="246" t="s">
        <v>932</v>
      </c>
    </row>
    <row r="174" spans="1:10" ht="33.75">
      <c r="A174" s="242" t="s">
        <v>865</v>
      </c>
      <c r="B174" s="242" t="s">
        <v>737</v>
      </c>
      <c r="C174" s="242" t="s">
        <v>974</v>
      </c>
      <c r="D174" s="278"/>
      <c r="E174" s="243" t="s">
        <v>975</v>
      </c>
      <c r="F174" s="244" t="s">
        <v>542</v>
      </c>
      <c r="G174" s="278" t="s">
        <v>845</v>
      </c>
      <c r="H174" s="243"/>
      <c r="I174" s="245" t="s">
        <v>932</v>
      </c>
    </row>
    <row r="175" spans="1:10" ht="90">
      <c r="A175" s="242" t="s">
        <v>865</v>
      </c>
      <c r="B175" s="242" t="s">
        <v>737</v>
      </c>
      <c r="C175" s="242" t="s">
        <v>923</v>
      </c>
      <c r="D175" s="278"/>
      <c r="E175" s="243" t="s">
        <v>976</v>
      </c>
      <c r="F175" s="244" t="s">
        <v>542</v>
      </c>
      <c r="G175" s="278" t="s">
        <v>845</v>
      </c>
      <c r="H175" s="243"/>
      <c r="I175" s="259" t="s">
        <v>868</v>
      </c>
    </row>
    <row r="176" spans="1:10" ht="56.25">
      <c r="A176" s="252">
        <v>1</v>
      </c>
      <c r="B176" s="252">
        <v>6</v>
      </c>
      <c r="C176" s="252">
        <v>16</v>
      </c>
      <c r="D176" s="252"/>
      <c r="E176" s="190" t="s">
        <v>36</v>
      </c>
      <c r="F176" s="191" t="s">
        <v>542</v>
      </c>
      <c r="G176" s="252" t="s">
        <v>845</v>
      </c>
      <c r="H176" s="190" t="s">
        <v>37</v>
      </c>
      <c r="I176" s="275"/>
    </row>
    <row r="177" spans="1:9" ht="33.75">
      <c r="A177" s="255">
        <v>1</v>
      </c>
      <c r="B177" s="255">
        <v>6</v>
      </c>
      <c r="C177" s="255">
        <v>16</v>
      </c>
      <c r="D177" s="255">
        <v>1</v>
      </c>
      <c r="E177" s="196" t="s">
        <v>38</v>
      </c>
      <c r="F177" s="184" t="s">
        <v>542</v>
      </c>
      <c r="G177" s="255" t="s">
        <v>845</v>
      </c>
      <c r="H177" s="196" t="s">
        <v>39</v>
      </c>
      <c r="I177" s="279"/>
    </row>
  </sheetData>
  <mergeCells count="7">
    <mergeCell ref="A7:I7"/>
    <mergeCell ref="A9:D9"/>
    <mergeCell ref="E9:E10"/>
    <mergeCell ref="F9:F10"/>
    <mergeCell ref="G9:G10"/>
    <mergeCell ref="H9:H10"/>
    <mergeCell ref="I9:I10"/>
  </mergeCells>
  <phoneticPr fontId="33" type="noConversion"/>
  <pageMargins left="0.41999998688697798" right="0.25" top="0.47244092822074901" bottom="0.51181101799011197" header="0.31496062874794001" footer="0.31496062874794001"/>
  <pageSetup paperSize="9" scale="92" orientation="landscape" r:id="rId1"/>
  <headerFooter>
    <oddFooter>&amp;C&amp;11&amp;"Calibri,Regular"&amp;P&amp;12&amp;"-,Regular"</oddFooter>
  </headerFooter>
  <rowBreaks count="2" manualBreakCount="2">
    <brk id="66" max="16383" man="1"/>
    <brk id="77" max="16383" man="1"/>
  </rowBreaks>
</worksheet>
</file>

<file path=xl/worksheets/sheet3.xml><?xml version="1.0" encoding="utf-8"?>
<worksheet xmlns="http://schemas.openxmlformats.org/spreadsheetml/2006/main" xmlns:r="http://schemas.openxmlformats.org/officeDocument/2006/relationships">
  <sheetPr>
    <pageSetUpPr fitToPage="1"/>
  </sheetPr>
  <dimension ref="A1:S20"/>
  <sheetViews>
    <sheetView view="pageBreakPreview" zoomScale="60" zoomScaleNormal="100" workbookViewId="0"/>
  </sheetViews>
  <sheetFormatPr defaultColWidth="9.140625" defaultRowHeight="15"/>
  <cols>
    <col min="1" max="2" width="4.7109375" customWidth="1"/>
    <col min="3" max="3" width="31.140625" customWidth="1"/>
    <col min="4" max="4" width="13.85546875" customWidth="1"/>
    <col min="5" max="7" width="9.7109375" customWidth="1"/>
    <col min="8" max="8" width="9.5703125" customWidth="1"/>
    <col min="9" max="16" width="9.7109375" customWidth="1"/>
    <col min="17" max="17" width="32.7109375" customWidth="1"/>
  </cols>
  <sheetData>
    <row r="1" spans="1:19" s="85" customFormat="1" ht="14.1" customHeight="1">
      <c r="A1" s="7"/>
      <c r="B1" s="7"/>
      <c r="C1" s="7"/>
      <c r="D1" s="7"/>
      <c r="E1" s="7"/>
      <c r="F1" s="7"/>
      <c r="G1" s="7"/>
      <c r="H1" s="7"/>
      <c r="J1" s="86"/>
      <c r="K1" s="86"/>
      <c r="L1" s="86"/>
      <c r="M1" s="86"/>
      <c r="N1" s="7" t="s">
        <v>40</v>
      </c>
      <c r="O1" s="7"/>
      <c r="P1" s="7"/>
    </row>
    <row r="2" spans="1:19" s="85" customFormat="1" ht="14.1" customHeight="1">
      <c r="A2" s="7"/>
      <c r="B2" s="7"/>
      <c r="C2" s="7"/>
      <c r="D2" s="7"/>
      <c r="E2" s="7"/>
      <c r="F2" s="7"/>
      <c r="G2" s="7"/>
      <c r="H2" s="7"/>
      <c r="J2" s="86"/>
      <c r="K2" s="86"/>
      <c r="L2" s="86"/>
      <c r="M2" s="86"/>
      <c r="N2" s="7" t="s">
        <v>707</v>
      </c>
      <c r="O2" s="7"/>
      <c r="P2" s="7"/>
    </row>
    <row r="3" spans="1:19" s="85" customFormat="1" ht="25.5" customHeight="1">
      <c r="A3" s="7"/>
      <c r="B3" s="7"/>
      <c r="C3" s="7"/>
      <c r="D3" s="7"/>
      <c r="E3" s="7"/>
      <c r="F3" s="7"/>
      <c r="G3" s="7"/>
      <c r="H3" s="7"/>
      <c r="J3" s="86"/>
      <c r="K3" s="86"/>
      <c r="L3" s="86"/>
      <c r="M3" s="86"/>
      <c r="N3" s="495" t="s">
        <v>708</v>
      </c>
      <c r="O3" s="495"/>
      <c r="P3" s="495"/>
      <c r="Q3" s="495"/>
      <c r="R3" s="87"/>
      <c r="S3" s="87"/>
    </row>
    <row r="4" spans="1:19" s="85" customFormat="1" ht="14.1" customHeight="1">
      <c r="A4" s="7"/>
      <c r="B4" s="7"/>
      <c r="C4" s="7"/>
      <c r="D4" s="7"/>
      <c r="E4" s="7"/>
      <c r="F4" s="7"/>
      <c r="G4" s="7"/>
      <c r="H4" s="7"/>
      <c r="J4" s="88"/>
      <c r="K4" s="88"/>
      <c r="L4" s="88"/>
      <c r="M4" s="88"/>
      <c r="N4" s="85" t="s">
        <v>709</v>
      </c>
    </row>
    <row r="5" spans="1:19" s="85" customFormat="1" ht="14.1" customHeight="1">
      <c r="A5" s="7"/>
      <c r="B5" s="7"/>
      <c r="C5" s="9"/>
      <c r="D5" s="9"/>
      <c r="E5" s="9"/>
      <c r="F5" s="9"/>
      <c r="G5" s="9"/>
      <c r="H5" s="9"/>
      <c r="J5" s="88"/>
      <c r="K5" s="88"/>
      <c r="L5" s="88"/>
      <c r="M5" s="88"/>
      <c r="N5" s="88"/>
      <c r="O5" s="88"/>
      <c r="P5" s="88"/>
    </row>
    <row r="6" spans="1:19" s="85" customFormat="1" ht="15.75" customHeight="1">
      <c r="A6" s="496" t="s">
        <v>41</v>
      </c>
      <c r="B6" s="496"/>
      <c r="C6" s="496"/>
      <c r="D6" s="496"/>
      <c r="E6" s="496"/>
      <c r="F6" s="496"/>
      <c r="G6" s="496"/>
      <c r="H6" s="496"/>
      <c r="I6" s="496"/>
      <c r="J6" s="496"/>
      <c r="K6" s="496"/>
      <c r="L6" s="496"/>
      <c r="M6" s="496"/>
      <c r="N6" s="496"/>
      <c r="O6" s="496"/>
      <c r="P6" s="496"/>
      <c r="Q6" s="496"/>
    </row>
    <row r="7" spans="1:19" s="85" customFormat="1" ht="17.25" customHeight="1">
      <c r="A7" s="7"/>
      <c r="B7" s="7"/>
      <c r="C7" s="9"/>
      <c r="D7" s="9"/>
      <c r="E7" s="9"/>
      <c r="F7" s="9"/>
      <c r="G7" s="9"/>
      <c r="H7" s="9"/>
      <c r="I7" s="9"/>
      <c r="J7" s="9"/>
      <c r="K7" s="9"/>
      <c r="L7" s="9"/>
      <c r="M7" s="9"/>
      <c r="N7" s="9"/>
      <c r="O7" s="9"/>
      <c r="P7" s="9"/>
      <c r="Q7" s="9"/>
    </row>
    <row r="8" spans="1:19" ht="16.5" customHeight="1">
      <c r="A8" s="503" t="s">
        <v>711</v>
      </c>
      <c r="B8" s="504"/>
      <c r="C8" s="497" t="s">
        <v>42</v>
      </c>
      <c r="D8" s="497" t="s">
        <v>43</v>
      </c>
      <c r="E8" s="500" t="s">
        <v>44</v>
      </c>
      <c r="F8" s="501"/>
      <c r="G8" s="501"/>
      <c r="H8" s="501"/>
      <c r="I8" s="501"/>
      <c r="J8" s="501"/>
      <c r="K8" s="501"/>
      <c r="L8" s="501"/>
      <c r="M8" s="501"/>
      <c r="N8" s="501"/>
      <c r="O8" s="502"/>
      <c r="P8" s="90"/>
      <c r="Q8" s="497" t="s">
        <v>45</v>
      </c>
    </row>
    <row r="9" spans="1:19" ht="33.75" customHeight="1">
      <c r="A9" s="505"/>
      <c r="B9" s="506"/>
      <c r="C9" s="498"/>
      <c r="D9" s="498"/>
      <c r="E9" s="497" t="s">
        <v>725</v>
      </c>
      <c r="F9" s="497" t="s">
        <v>726</v>
      </c>
      <c r="G9" s="497" t="s">
        <v>727</v>
      </c>
      <c r="H9" s="497" t="s">
        <v>728</v>
      </c>
      <c r="I9" s="499" t="s">
        <v>729</v>
      </c>
      <c r="J9" s="497" t="s">
        <v>730</v>
      </c>
      <c r="K9" s="497" t="s">
        <v>731</v>
      </c>
      <c r="L9" s="497"/>
      <c r="M9" s="497"/>
      <c r="N9" s="497"/>
      <c r="O9" s="497"/>
      <c r="P9" s="499"/>
      <c r="Q9" s="498"/>
    </row>
    <row r="10" spans="1:19" ht="18" customHeight="1">
      <c r="A10" s="89" t="s">
        <v>732</v>
      </c>
      <c r="B10" s="89" t="s">
        <v>733</v>
      </c>
      <c r="C10" s="499"/>
      <c r="D10" s="499"/>
      <c r="E10" s="499"/>
      <c r="F10" s="499"/>
      <c r="G10" s="499"/>
      <c r="H10" s="499"/>
      <c r="I10" s="499"/>
      <c r="J10" s="499"/>
      <c r="K10" s="499"/>
      <c r="L10" s="499"/>
      <c r="M10" s="499"/>
      <c r="N10" s="499"/>
      <c r="O10" s="499"/>
      <c r="P10" s="499"/>
      <c r="Q10" s="499"/>
    </row>
    <row r="11" spans="1:19" ht="14.1" customHeight="1">
      <c r="A11" s="91" t="s">
        <v>736</v>
      </c>
      <c r="B11" s="91" t="s">
        <v>737</v>
      </c>
      <c r="C11" s="507" t="s">
        <v>738</v>
      </c>
      <c r="D11" s="508"/>
      <c r="E11" s="508"/>
      <c r="F11" s="508"/>
      <c r="G11" s="508"/>
      <c r="H11" s="508"/>
      <c r="I11" s="508"/>
      <c r="J11" s="508"/>
      <c r="K11" s="508"/>
      <c r="L11" s="508"/>
      <c r="M11" s="508"/>
      <c r="N11" s="508"/>
      <c r="O11" s="508"/>
      <c r="P11" s="508"/>
      <c r="Q11" s="509"/>
    </row>
    <row r="12" spans="1:19" ht="67.5">
      <c r="A12" s="92" t="s">
        <v>736</v>
      </c>
      <c r="B12" s="92" t="s">
        <v>737</v>
      </c>
      <c r="C12" s="93" t="s">
        <v>46</v>
      </c>
      <c r="D12" s="94" t="s">
        <v>47</v>
      </c>
      <c r="E12" s="94">
        <v>0</v>
      </c>
      <c r="F12" s="94">
        <v>0</v>
      </c>
      <c r="G12" s="94">
        <v>0</v>
      </c>
      <c r="H12" s="94">
        <v>0</v>
      </c>
      <c r="I12" s="94"/>
      <c r="J12" s="94"/>
      <c r="K12" s="94"/>
      <c r="L12" s="94"/>
      <c r="M12" s="94"/>
      <c r="N12" s="94"/>
      <c r="O12" s="94"/>
      <c r="P12" s="94"/>
      <c r="Q12" s="93" t="s">
        <v>48</v>
      </c>
    </row>
    <row r="13" spans="1:19" ht="14.1" customHeight="1">
      <c r="A13" s="91" t="s">
        <v>736</v>
      </c>
      <c r="B13" s="91" t="s">
        <v>757</v>
      </c>
      <c r="C13" s="507" t="s">
        <v>758</v>
      </c>
      <c r="D13" s="508"/>
      <c r="E13" s="508"/>
      <c r="F13" s="508"/>
      <c r="G13" s="508"/>
      <c r="H13" s="508"/>
      <c r="I13" s="508"/>
      <c r="J13" s="508"/>
      <c r="K13" s="508"/>
      <c r="L13" s="508"/>
      <c r="M13" s="508"/>
      <c r="N13" s="508"/>
      <c r="O13" s="508"/>
      <c r="P13" s="508"/>
      <c r="Q13" s="509"/>
    </row>
    <row r="14" spans="1:19" ht="78.75">
      <c r="A14" s="92" t="s">
        <v>736</v>
      </c>
      <c r="B14" s="92" t="s">
        <v>757</v>
      </c>
      <c r="C14" s="93" t="s">
        <v>49</v>
      </c>
      <c r="D14" s="94" t="s">
        <v>47</v>
      </c>
      <c r="E14" s="94">
        <v>0</v>
      </c>
      <c r="F14" s="94">
        <v>0</v>
      </c>
      <c r="G14" s="94">
        <v>0</v>
      </c>
      <c r="H14" s="94">
        <v>0</v>
      </c>
      <c r="I14" s="94"/>
      <c r="J14" s="94"/>
      <c r="K14" s="94"/>
      <c r="L14" s="94"/>
      <c r="M14" s="94"/>
      <c r="N14" s="94"/>
      <c r="O14" s="94"/>
      <c r="P14" s="94"/>
      <c r="Q14" s="93" t="s">
        <v>48</v>
      </c>
    </row>
    <row r="15" spans="1:19" ht="14.1" customHeight="1">
      <c r="A15" s="91" t="s">
        <v>736</v>
      </c>
      <c r="B15" s="91" t="s">
        <v>780</v>
      </c>
      <c r="C15" s="507" t="s">
        <v>781</v>
      </c>
      <c r="D15" s="508"/>
      <c r="E15" s="508"/>
      <c r="F15" s="508"/>
      <c r="G15" s="508"/>
      <c r="H15" s="508"/>
      <c r="I15" s="508"/>
      <c r="J15" s="508"/>
      <c r="K15" s="508"/>
      <c r="L15" s="508"/>
      <c r="M15" s="508"/>
      <c r="N15" s="508"/>
      <c r="O15" s="508"/>
      <c r="P15" s="508"/>
      <c r="Q15" s="509"/>
    </row>
    <row r="16" spans="1:19" ht="48.75" customHeight="1">
      <c r="A16" s="92" t="s">
        <v>736</v>
      </c>
      <c r="B16" s="92" t="s">
        <v>780</v>
      </c>
      <c r="C16" s="93" t="s">
        <v>50</v>
      </c>
      <c r="D16" s="94" t="s">
        <v>47</v>
      </c>
      <c r="E16" s="94">
        <v>0</v>
      </c>
      <c r="F16" s="94">
        <v>0</v>
      </c>
      <c r="G16" s="94">
        <v>0</v>
      </c>
      <c r="H16" s="94">
        <v>0</v>
      </c>
      <c r="I16" s="94"/>
      <c r="J16" s="94"/>
      <c r="K16" s="94"/>
      <c r="L16" s="94"/>
      <c r="M16" s="94"/>
      <c r="N16" s="94"/>
      <c r="O16" s="94"/>
      <c r="P16" s="94"/>
      <c r="Q16" s="93" t="s">
        <v>48</v>
      </c>
    </row>
    <row r="17" spans="1:17">
      <c r="A17" s="91" t="s">
        <v>736</v>
      </c>
      <c r="B17" s="91" t="s">
        <v>815</v>
      </c>
      <c r="C17" s="507" t="s">
        <v>51</v>
      </c>
      <c r="D17" s="508"/>
      <c r="E17" s="508"/>
      <c r="F17" s="508"/>
      <c r="G17" s="508"/>
      <c r="H17" s="508"/>
      <c r="I17" s="508"/>
      <c r="J17" s="508"/>
      <c r="K17" s="508"/>
      <c r="L17" s="508"/>
      <c r="M17" s="508"/>
      <c r="N17" s="508"/>
      <c r="O17" s="508"/>
      <c r="P17" s="508"/>
      <c r="Q17" s="509"/>
    </row>
    <row r="18" spans="1:17" ht="69" customHeight="1">
      <c r="A18" s="92" t="s">
        <v>736</v>
      </c>
      <c r="B18" s="92" t="s">
        <v>815</v>
      </c>
      <c r="C18" s="93" t="s">
        <v>52</v>
      </c>
      <c r="D18" s="94" t="s">
        <v>47</v>
      </c>
      <c r="E18" s="94">
        <v>0</v>
      </c>
      <c r="F18" s="94">
        <v>0</v>
      </c>
      <c r="G18" s="94">
        <v>0</v>
      </c>
      <c r="H18" s="94">
        <v>0</v>
      </c>
      <c r="I18" s="94"/>
      <c r="J18" s="94"/>
      <c r="K18" s="94"/>
      <c r="L18" s="94"/>
      <c r="M18" s="94"/>
      <c r="N18" s="94"/>
      <c r="O18" s="94"/>
      <c r="P18" s="94"/>
      <c r="Q18" s="93" t="s">
        <v>53</v>
      </c>
    </row>
    <row r="20" spans="1:17">
      <c r="E20">
        <f>E18+E16+E14+E12</f>
        <v>0</v>
      </c>
    </row>
  </sheetData>
  <mergeCells count="23">
    <mergeCell ref="C17:Q17"/>
    <mergeCell ref="C15:Q15"/>
    <mergeCell ref="C13:Q13"/>
    <mergeCell ref="C11:Q11"/>
    <mergeCell ref="C8:C10"/>
    <mergeCell ref="D8:D10"/>
    <mergeCell ref="G9:G10"/>
    <mergeCell ref="N3:Q3"/>
    <mergeCell ref="A6:Q6"/>
    <mergeCell ref="Q8:Q10"/>
    <mergeCell ref="P9:P10"/>
    <mergeCell ref="E8:O8"/>
    <mergeCell ref="J9:J10"/>
    <mergeCell ref="K9:K10"/>
    <mergeCell ref="H9:H10"/>
    <mergeCell ref="I9:I10"/>
    <mergeCell ref="L9:L10"/>
    <mergeCell ref="A8:B9"/>
    <mergeCell ref="M9:M10"/>
    <mergeCell ref="O9:O10"/>
    <mergeCell ref="N9:N10"/>
    <mergeCell ref="E9:E10"/>
    <mergeCell ref="F9:F10"/>
  </mergeCells>
  <phoneticPr fontId="33" type="noConversion"/>
  <pageMargins left="0.590551137924194" right="0.590551137924194" top="0.78740155696868896" bottom="0.78740155696868896" header="0.31496062874794001" footer="0.31496062874794001"/>
  <pageSetup paperSize="9" scale="65" fitToHeight="0" orientation="landscape" r:id="rId1"/>
  <headerFooter>
    <oddFooter>&amp;C&amp;11&amp;"Calibri,Regular"&amp;P&amp;12&amp;"-,Regular"</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AD60"/>
  <sheetViews>
    <sheetView view="pageBreakPreview" topLeftCell="A7" zoomScale="60" zoomScaleNormal="100" workbookViewId="0">
      <pane ySplit="4" topLeftCell="A44" activePane="bottomLeft" state="frozen"/>
      <selection pane="bottomLeft" activeCell="Q66" sqref="Q66"/>
    </sheetView>
  </sheetViews>
  <sheetFormatPr defaultColWidth="9.140625" defaultRowHeight="15"/>
  <cols>
    <col min="1" max="1" width="4.42578125" customWidth="1"/>
    <col min="2" max="4" width="4.28515625" customWidth="1"/>
    <col min="5" max="5" width="4.7109375" customWidth="1"/>
    <col min="6" max="6" width="27.7109375" customWidth="1"/>
    <col min="7" max="7" width="33.28515625" customWidth="1"/>
    <col min="8" max="8" width="10.28515625" customWidth="1"/>
    <col min="9" max="9" width="0.140625" hidden="1" customWidth="1"/>
    <col min="10" max="10" width="7.85546875" style="95" hidden="1" customWidth="1"/>
    <col min="11" max="11" width="8" style="95" hidden="1" customWidth="1"/>
    <col min="12" max="12" width="7.85546875" style="95" hidden="1" customWidth="1"/>
    <col min="13" max="13" width="9.28515625" bestFit="1" customWidth="1"/>
    <col min="14" max="14" width="8" bestFit="1" customWidth="1"/>
    <col min="15" max="16" width="8.5703125" customWidth="1"/>
    <col min="17" max="17" width="8.140625" customWidth="1"/>
    <col min="18" max="18" width="8.5703125" customWidth="1"/>
    <col min="19" max="22" width="9" customWidth="1"/>
    <col min="23" max="25" width="9.28515625" bestFit="1" customWidth="1"/>
    <col min="26" max="26" width="10.28515625" bestFit="1" customWidth="1"/>
    <col min="27" max="28" width="9.28515625" bestFit="1" customWidth="1"/>
  </cols>
  <sheetData>
    <row r="1" spans="1:24" s="85" customFormat="1" ht="14.1" customHeight="1">
      <c r="A1" s="7"/>
      <c r="B1" s="7"/>
      <c r="C1" s="7"/>
      <c r="D1" s="7"/>
      <c r="E1" s="7"/>
      <c r="F1" s="7"/>
      <c r="G1" s="7"/>
      <c r="H1" s="7"/>
      <c r="I1" s="7"/>
      <c r="L1" s="7"/>
      <c r="M1" s="7"/>
      <c r="N1" s="7"/>
      <c r="O1" s="7" t="s">
        <v>54</v>
      </c>
    </row>
    <row r="2" spans="1:24" s="85" customFormat="1" ht="14.1" customHeight="1">
      <c r="A2" s="7"/>
      <c r="B2" s="7"/>
      <c r="C2" s="7"/>
      <c r="D2" s="7"/>
      <c r="E2" s="7"/>
      <c r="F2" s="7"/>
      <c r="G2" s="7"/>
      <c r="H2" s="7"/>
      <c r="I2" s="7"/>
      <c r="L2" s="7"/>
      <c r="M2" s="7"/>
      <c r="N2" s="7"/>
      <c r="O2" s="7" t="s">
        <v>707</v>
      </c>
    </row>
    <row r="3" spans="1:24" s="85" customFormat="1" ht="39" customHeight="1">
      <c r="A3" s="7"/>
      <c r="B3" s="7"/>
      <c r="C3" s="7"/>
      <c r="D3" s="7"/>
      <c r="E3" s="7"/>
      <c r="F3" s="7"/>
      <c r="G3" s="7"/>
      <c r="H3" s="7"/>
      <c r="I3" s="7"/>
      <c r="L3" s="7"/>
      <c r="M3" s="7"/>
      <c r="N3" s="7"/>
      <c r="O3" s="495" t="s">
        <v>708</v>
      </c>
      <c r="P3" s="495"/>
      <c r="Q3" s="495"/>
      <c r="R3" s="495"/>
      <c r="S3" s="96"/>
      <c r="T3" s="96"/>
      <c r="U3" s="96"/>
      <c r="V3" s="96"/>
    </row>
    <row r="4" spans="1:24" s="85" customFormat="1" ht="14.1" customHeight="1">
      <c r="A4" s="7"/>
      <c r="B4" s="7"/>
      <c r="C4" s="7"/>
      <c r="D4" s="7"/>
      <c r="E4" s="7"/>
      <c r="F4" s="7"/>
      <c r="G4" s="7"/>
      <c r="H4" s="7"/>
      <c r="I4" s="7"/>
      <c r="L4" s="7"/>
      <c r="M4" s="7"/>
      <c r="N4" s="7"/>
      <c r="O4" s="85" t="s">
        <v>709</v>
      </c>
    </row>
    <row r="5" spans="1:24" s="85" customFormat="1" ht="14.1" customHeight="1">
      <c r="A5" s="7"/>
      <c r="B5" s="7"/>
      <c r="C5" s="7"/>
      <c r="D5" s="7"/>
      <c r="E5" s="7"/>
      <c r="F5" s="9"/>
      <c r="G5" s="9"/>
      <c r="H5" s="9"/>
      <c r="I5" s="9"/>
      <c r="L5" s="9"/>
      <c r="M5" s="7"/>
      <c r="N5" s="7"/>
      <c r="X5" s="85" t="s">
        <v>55</v>
      </c>
    </row>
    <row r="6" spans="1:24" s="85" customFormat="1" ht="14.1" customHeight="1">
      <c r="A6" s="7"/>
      <c r="B6" s="7"/>
      <c r="C6" s="7"/>
      <c r="D6" s="7"/>
      <c r="E6" s="7"/>
      <c r="F6" s="9"/>
      <c r="G6" s="9"/>
      <c r="H6" s="9"/>
      <c r="I6" s="9"/>
      <c r="J6" s="9"/>
      <c r="K6" s="9"/>
      <c r="L6" s="9"/>
      <c r="M6" s="7"/>
      <c r="N6" s="7"/>
      <c r="O6" s="7"/>
    </row>
    <row r="7" spans="1:24" s="85" customFormat="1" ht="14.1" customHeight="1">
      <c r="A7" s="512" t="s">
        <v>56</v>
      </c>
      <c r="B7" s="512"/>
      <c r="C7" s="512"/>
      <c r="D7" s="512"/>
      <c r="E7" s="512"/>
      <c r="F7" s="512"/>
      <c r="G7" s="512"/>
      <c r="H7" s="512"/>
      <c r="I7" s="512"/>
      <c r="J7" s="512"/>
      <c r="K7" s="512"/>
      <c r="L7" s="512"/>
      <c r="M7" s="512"/>
      <c r="N7" s="280"/>
      <c r="O7" s="280"/>
      <c r="P7" s="280"/>
      <c r="Q7" s="280"/>
      <c r="R7" s="280"/>
      <c r="S7" s="280"/>
      <c r="T7" s="280"/>
      <c r="U7" s="280"/>
      <c r="V7" s="280"/>
    </row>
    <row r="8" spans="1:24" s="85" customFormat="1" ht="14.1" customHeight="1">
      <c r="A8" s="7"/>
      <c r="B8" s="7"/>
      <c r="C8" s="7"/>
      <c r="D8" s="7"/>
      <c r="E8" s="7"/>
      <c r="F8" s="150"/>
      <c r="G8" s="150"/>
      <c r="H8" s="150"/>
      <c r="I8" s="150"/>
      <c r="J8" s="150"/>
      <c r="K8" s="150"/>
      <c r="L8" s="150"/>
      <c r="M8" s="150"/>
      <c r="N8" s="150"/>
      <c r="O8" s="150"/>
      <c r="P8" s="280"/>
      <c r="Q8" s="280"/>
      <c r="R8" s="280"/>
      <c r="S8" s="280"/>
      <c r="T8" s="280"/>
      <c r="U8" s="280"/>
      <c r="V8" s="280"/>
    </row>
    <row r="9" spans="1:24" ht="47.25" customHeight="1">
      <c r="A9" s="531" t="s">
        <v>711</v>
      </c>
      <c r="B9" s="532"/>
      <c r="C9" s="532"/>
      <c r="D9" s="533"/>
      <c r="E9" s="510" t="s">
        <v>57</v>
      </c>
      <c r="F9" s="510" t="s">
        <v>58</v>
      </c>
      <c r="G9" s="510" t="s">
        <v>59</v>
      </c>
      <c r="H9" s="510" t="s">
        <v>60</v>
      </c>
      <c r="I9" s="510" t="s">
        <v>720</v>
      </c>
      <c r="J9" s="510" t="s">
        <v>721</v>
      </c>
      <c r="K9" s="510" t="s">
        <v>722</v>
      </c>
      <c r="L9" s="510" t="s">
        <v>723</v>
      </c>
      <c r="M9" s="510" t="s">
        <v>724</v>
      </c>
      <c r="N9" s="510" t="s">
        <v>61</v>
      </c>
      <c r="O9" s="510" t="s">
        <v>62</v>
      </c>
      <c r="P9" s="510" t="s">
        <v>725</v>
      </c>
      <c r="Q9" s="510" t="s">
        <v>726</v>
      </c>
      <c r="R9" s="510" t="s">
        <v>727</v>
      </c>
      <c r="S9" s="510" t="s">
        <v>728</v>
      </c>
      <c r="T9" s="510" t="s">
        <v>729</v>
      </c>
      <c r="U9" s="510" t="s">
        <v>730</v>
      </c>
      <c r="V9" s="510" t="s">
        <v>731</v>
      </c>
    </row>
    <row r="10" spans="1:24" ht="14.1" customHeight="1">
      <c r="A10" s="281" t="s">
        <v>732</v>
      </c>
      <c r="B10" s="281" t="s">
        <v>733</v>
      </c>
      <c r="C10" s="281" t="s">
        <v>841</v>
      </c>
      <c r="D10" s="281" t="s">
        <v>842</v>
      </c>
      <c r="E10" s="511"/>
      <c r="F10" s="511"/>
      <c r="G10" s="511"/>
      <c r="H10" s="511"/>
      <c r="I10" s="511"/>
      <c r="J10" s="511"/>
      <c r="K10" s="511"/>
      <c r="L10" s="511"/>
      <c r="M10" s="511"/>
      <c r="N10" s="511"/>
      <c r="O10" s="511"/>
      <c r="P10" s="511"/>
      <c r="Q10" s="511"/>
      <c r="R10" s="511"/>
      <c r="S10" s="511"/>
      <c r="T10" s="511"/>
      <c r="U10" s="511"/>
      <c r="V10" s="511"/>
    </row>
    <row r="11" spans="1:24" ht="14.1" customHeight="1">
      <c r="A11" s="282" t="s">
        <v>736</v>
      </c>
      <c r="B11" s="283">
        <v>1</v>
      </c>
      <c r="C11" s="284"/>
      <c r="D11" s="284"/>
      <c r="E11" s="284"/>
      <c r="F11" s="536" t="s">
        <v>738</v>
      </c>
      <c r="G11" s="537"/>
      <c r="H11" s="537"/>
      <c r="I11" s="537"/>
      <c r="J11" s="537"/>
      <c r="K11" s="537"/>
      <c r="L11" s="537"/>
      <c r="M11" s="537"/>
      <c r="N11" s="537"/>
      <c r="O11" s="537"/>
      <c r="P11" s="537"/>
      <c r="Q11" s="537"/>
      <c r="R11" s="538"/>
      <c r="S11" s="285"/>
      <c r="T11" s="285"/>
      <c r="U11" s="285"/>
      <c r="V11" s="285"/>
    </row>
    <row r="12" spans="1:24" ht="33.75" customHeight="1">
      <c r="A12" s="534" t="s">
        <v>736</v>
      </c>
      <c r="B12" s="513" t="s">
        <v>737</v>
      </c>
      <c r="C12" s="515" t="s">
        <v>848</v>
      </c>
      <c r="D12" s="515" t="s">
        <v>780</v>
      </c>
      <c r="E12" s="515" t="s">
        <v>63</v>
      </c>
      <c r="F12" s="521" t="s">
        <v>64</v>
      </c>
      <c r="G12" s="286" t="s">
        <v>65</v>
      </c>
      <c r="H12" s="287" t="s">
        <v>749</v>
      </c>
      <c r="I12" s="286"/>
      <c r="J12" s="286">
        <v>1040</v>
      </c>
      <c r="K12" s="286">
        <v>1066</v>
      </c>
      <c r="L12" s="286">
        <v>981</v>
      </c>
      <c r="M12" s="288">
        <v>913</v>
      </c>
      <c r="N12" s="288">
        <v>846</v>
      </c>
      <c r="O12" s="288">
        <v>845</v>
      </c>
      <c r="P12" s="289"/>
      <c r="Q12" s="289"/>
      <c r="R12" s="289"/>
      <c r="S12" s="286"/>
      <c r="T12" s="286"/>
      <c r="U12" s="286"/>
      <c r="V12" s="286"/>
    </row>
    <row r="13" spans="1:24" ht="45" customHeight="1">
      <c r="A13" s="535"/>
      <c r="B13" s="514"/>
      <c r="C13" s="516"/>
      <c r="D13" s="516"/>
      <c r="E13" s="516"/>
      <c r="F13" s="522"/>
      <c r="G13" s="286" t="s">
        <v>66</v>
      </c>
      <c r="H13" s="287" t="s">
        <v>774</v>
      </c>
      <c r="I13" s="286"/>
      <c r="J13" s="286">
        <v>77835.3</v>
      </c>
      <c r="K13" s="286">
        <v>77326</v>
      </c>
      <c r="L13" s="286">
        <v>86997.8</v>
      </c>
      <c r="M13" s="286">
        <f>'[1]5 '!Q28</f>
        <v>76033.259999999995</v>
      </c>
      <c r="N13" s="286">
        <f>'[1]5 '!R28</f>
        <v>78156.800000000003</v>
      </c>
      <c r="O13" s="286">
        <f>'[1]5 '!S28</f>
        <v>85932.9</v>
      </c>
      <c r="P13" s="289"/>
      <c r="Q13" s="289"/>
      <c r="R13" s="289"/>
      <c r="S13" s="286"/>
      <c r="T13" s="286"/>
      <c r="U13" s="286"/>
      <c r="V13" s="286"/>
    </row>
    <row r="14" spans="1:24" ht="22.5" customHeight="1">
      <c r="A14" s="534" t="s">
        <v>736</v>
      </c>
      <c r="B14" s="513" t="s">
        <v>737</v>
      </c>
      <c r="C14" s="515" t="s">
        <v>848</v>
      </c>
      <c r="D14" s="515" t="s">
        <v>780</v>
      </c>
      <c r="E14" s="515" t="s">
        <v>67</v>
      </c>
      <c r="F14" s="521" t="s">
        <v>64</v>
      </c>
      <c r="G14" s="286" t="s">
        <v>65</v>
      </c>
      <c r="H14" s="287" t="s">
        <v>749</v>
      </c>
      <c r="I14" s="286"/>
      <c r="J14" s="286"/>
      <c r="K14" s="286"/>
      <c r="L14" s="286"/>
      <c r="M14" s="286"/>
      <c r="N14" s="286"/>
      <c r="O14" s="286"/>
      <c r="P14" s="288">
        <v>833</v>
      </c>
      <c r="Q14" s="288">
        <v>886</v>
      </c>
      <c r="R14" s="288">
        <v>870</v>
      </c>
      <c r="S14" s="288">
        <v>819</v>
      </c>
      <c r="T14" s="288">
        <v>819</v>
      </c>
      <c r="U14" s="288">
        <v>819</v>
      </c>
      <c r="V14" s="288">
        <v>819</v>
      </c>
    </row>
    <row r="15" spans="1:24" ht="45" customHeight="1">
      <c r="A15" s="535"/>
      <c r="B15" s="514"/>
      <c r="C15" s="516"/>
      <c r="D15" s="516"/>
      <c r="E15" s="516"/>
      <c r="F15" s="522"/>
      <c r="G15" s="286" t="s">
        <v>66</v>
      </c>
      <c r="H15" s="287" t="s">
        <v>774</v>
      </c>
      <c r="I15" s="286"/>
      <c r="J15" s="286"/>
      <c r="K15" s="286"/>
      <c r="L15" s="286"/>
      <c r="M15" s="286"/>
      <c r="N15" s="286"/>
      <c r="O15" s="286"/>
      <c r="P15" s="286">
        <f>'[1]5 '!T27</f>
        <v>110103.2</v>
      </c>
      <c r="Q15" s="286">
        <f>'[1]5 '!U27</f>
        <v>123015.1</v>
      </c>
      <c r="R15" s="286">
        <v>121853.16</v>
      </c>
      <c r="S15" s="286">
        <f>'[1]5 '!W27</f>
        <v>115537.2</v>
      </c>
      <c r="T15" s="286">
        <f>'[1]5 '!X27</f>
        <v>115720</v>
      </c>
      <c r="U15" s="286">
        <f>'[1]5 '!Y27</f>
        <v>121853.15999999999</v>
      </c>
      <c r="V15" s="286">
        <f>'[1]5 '!Z27</f>
        <v>128311.37747999998</v>
      </c>
    </row>
    <row r="16" spans="1:24" ht="22.5" customHeight="1">
      <c r="A16" s="534"/>
      <c r="B16" s="513"/>
      <c r="C16" s="515"/>
      <c r="D16" s="515"/>
      <c r="E16" s="515"/>
      <c r="F16" s="523" t="s">
        <v>68</v>
      </c>
      <c r="G16" s="286" t="s">
        <v>65</v>
      </c>
      <c r="H16" s="287" t="s">
        <v>749</v>
      </c>
      <c r="I16" s="286">
        <v>1086</v>
      </c>
      <c r="J16" s="286"/>
      <c r="K16" s="286"/>
      <c r="L16" s="286"/>
      <c r="M16" s="286"/>
      <c r="N16" s="286"/>
      <c r="O16" s="286"/>
      <c r="P16" s="286"/>
      <c r="Q16" s="286"/>
      <c r="R16" s="286"/>
      <c r="S16" s="286"/>
      <c r="T16" s="286"/>
      <c r="U16" s="286"/>
      <c r="V16" s="286"/>
    </row>
    <row r="17" spans="1:30" ht="78.75" customHeight="1">
      <c r="A17" s="535"/>
      <c r="B17" s="514"/>
      <c r="C17" s="516"/>
      <c r="D17" s="516"/>
      <c r="E17" s="516"/>
      <c r="F17" s="524"/>
      <c r="G17" s="286" t="s">
        <v>66</v>
      </c>
      <c r="H17" s="287" t="s">
        <v>774</v>
      </c>
      <c r="I17" s="286">
        <v>82980.100000000006</v>
      </c>
      <c r="J17" s="286"/>
      <c r="K17" s="286"/>
      <c r="L17" s="286"/>
      <c r="M17" s="286"/>
      <c r="N17" s="286"/>
      <c r="O17" s="286"/>
      <c r="P17" s="286"/>
      <c r="Q17" s="286"/>
      <c r="R17" s="286"/>
      <c r="S17" s="286"/>
      <c r="T17" s="286"/>
      <c r="U17" s="286"/>
      <c r="V17" s="286"/>
    </row>
    <row r="18" spans="1:30">
      <c r="A18" s="282" t="s">
        <v>736</v>
      </c>
      <c r="B18" s="290">
        <v>2</v>
      </c>
      <c r="C18" s="525" t="s">
        <v>758</v>
      </c>
      <c r="D18" s="526"/>
      <c r="E18" s="526"/>
      <c r="F18" s="526"/>
      <c r="G18" s="526"/>
      <c r="H18" s="526"/>
      <c r="I18" s="526"/>
      <c r="J18" s="526"/>
      <c r="K18" s="526"/>
      <c r="L18" s="526"/>
      <c r="M18" s="526"/>
      <c r="N18" s="526"/>
      <c r="O18" s="526"/>
      <c r="P18" s="526"/>
      <c r="Q18" s="526"/>
      <c r="R18" s="526"/>
      <c r="S18" s="526"/>
      <c r="T18" s="291"/>
      <c r="U18" s="291"/>
      <c r="V18" s="291"/>
      <c r="Z18" s="97">
        <f>P22+P26+P30+P34</f>
        <v>308938.2</v>
      </c>
      <c r="AA18" s="97">
        <f>Q22+Q26+Q30+Q34</f>
        <v>289985.39999999997</v>
      </c>
      <c r="AB18" s="97">
        <f>R22+R26+R30+R34</f>
        <v>290994.10000000003</v>
      </c>
      <c r="AC18" s="97">
        <f>S22+S26+S30+S34</f>
        <v>291915.10000000003</v>
      </c>
      <c r="AD18" s="97">
        <f>T22+T26+T30+T34</f>
        <v>293433.30000000005</v>
      </c>
    </row>
    <row r="19" spans="1:30" ht="15" customHeight="1">
      <c r="A19" s="534" t="s">
        <v>736</v>
      </c>
      <c r="B19" s="513" t="s">
        <v>757</v>
      </c>
      <c r="C19" s="515" t="s">
        <v>736</v>
      </c>
      <c r="D19" s="515" t="s">
        <v>757</v>
      </c>
      <c r="E19" s="515" t="s">
        <v>63</v>
      </c>
      <c r="F19" s="521" t="s">
        <v>69</v>
      </c>
      <c r="G19" s="286" t="s">
        <v>70</v>
      </c>
      <c r="H19" s="292" t="s">
        <v>749</v>
      </c>
      <c r="I19" s="293"/>
      <c r="J19" s="294">
        <f>1252+20+6</f>
        <v>1278</v>
      </c>
      <c r="K19" s="294">
        <f>1246+24</f>
        <v>1270</v>
      </c>
      <c r="L19" s="294">
        <v>1309</v>
      </c>
      <c r="M19" s="294">
        <v>1290</v>
      </c>
      <c r="N19" s="294">
        <v>1177</v>
      </c>
      <c r="O19" s="294">
        <v>1171</v>
      </c>
      <c r="P19" s="289"/>
      <c r="Q19" s="289"/>
      <c r="R19" s="289"/>
      <c r="S19" s="289"/>
      <c r="T19" s="289"/>
      <c r="U19" s="289"/>
      <c r="V19" s="289"/>
      <c r="W19" s="97">
        <f>M19+M23+M27+M31</f>
        <v>2945</v>
      </c>
      <c r="X19" s="97">
        <f>N19+N23+N27+N31</f>
        <v>2860</v>
      </c>
      <c r="Y19" s="97">
        <f>O19+O23+O27+O31</f>
        <v>2933</v>
      </c>
      <c r="Z19" s="97">
        <f>P21+P25+P29+P33</f>
        <v>2855</v>
      </c>
      <c r="AA19" s="97">
        <f>Q21+Q25+Q29+Q33</f>
        <v>2757</v>
      </c>
      <c r="AB19" s="97">
        <f>R21+R25+R29+R33</f>
        <v>2615</v>
      </c>
      <c r="AC19" s="97">
        <f>S21+S25+S29+S33</f>
        <v>2441</v>
      </c>
      <c r="AD19" s="97">
        <f>T21+T25+T29+T33</f>
        <v>2441</v>
      </c>
    </row>
    <row r="20" spans="1:30" ht="45" customHeight="1">
      <c r="A20" s="535"/>
      <c r="B20" s="514"/>
      <c r="C20" s="516"/>
      <c r="D20" s="516"/>
      <c r="E20" s="516"/>
      <c r="F20" s="522"/>
      <c r="G20" s="286" t="s">
        <v>66</v>
      </c>
      <c r="H20" s="292" t="s">
        <v>774</v>
      </c>
      <c r="I20" s="293"/>
      <c r="J20" s="293">
        <v>86531.199999999997</v>
      </c>
      <c r="K20" s="293">
        <v>85770.4</v>
      </c>
      <c r="L20" s="286">
        <v>99459</v>
      </c>
      <c r="M20" s="286">
        <f>243993.7/2945*M19</f>
        <v>106876.69711375212</v>
      </c>
      <c r="N20" s="286">
        <f>251354.6/2860*N19</f>
        <v>103442.08538461538</v>
      </c>
      <c r="O20" s="286">
        <f>290739.8/2933*O19</f>
        <v>116077.84036822365</v>
      </c>
      <c r="P20" s="289"/>
      <c r="Q20" s="289"/>
      <c r="R20" s="289"/>
      <c r="S20" s="289"/>
      <c r="T20" s="289"/>
      <c r="U20" s="289"/>
      <c r="V20" s="289"/>
      <c r="W20" s="97"/>
      <c r="X20" s="97"/>
      <c r="Y20" s="97">
        <f>O20+O24+O28+O32</f>
        <v>290739.8</v>
      </c>
      <c r="Z20" s="97" t="e">
        <f>'[2]5'!T61</f>
        <v>#REF!</v>
      </c>
      <c r="AA20" s="97" t="e">
        <f>'[2]5'!U61</f>
        <v>#REF!</v>
      </c>
      <c r="AB20" s="97" t="e">
        <f>'[2]5'!V61</f>
        <v>#REF!</v>
      </c>
      <c r="AC20" s="97" t="e">
        <f>'[2]5'!W61</f>
        <v>#REF!</v>
      </c>
      <c r="AD20" t="e">
        <f>'[3]5 (2)'!X62</f>
        <v>#REF!</v>
      </c>
    </row>
    <row r="21" spans="1:30" ht="15" customHeight="1">
      <c r="A21" s="534" t="s">
        <v>736</v>
      </c>
      <c r="B21" s="513" t="s">
        <v>757</v>
      </c>
      <c r="C21" s="515" t="s">
        <v>736</v>
      </c>
      <c r="D21" s="515" t="s">
        <v>757</v>
      </c>
      <c r="E21" s="515" t="s">
        <v>67</v>
      </c>
      <c r="F21" s="521" t="s">
        <v>69</v>
      </c>
      <c r="G21" s="286" t="s">
        <v>70</v>
      </c>
      <c r="H21" s="292" t="s">
        <v>749</v>
      </c>
      <c r="I21" s="293"/>
      <c r="J21" s="293"/>
      <c r="K21" s="293"/>
      <c r="L21" s="286"/>
      <c r="M21" s="286"/>
      <c r="N21" s="286"/>
      <c r="O21" s="286"/>
      <c r="P21" s="295">
        <v>1035</v>
      </c>
      <c r="Q21" s="295">
        <v>941</v>
      </c>
      <c r="R21" s="295">
        <v>859</v>
      </c>
      <c r="S21" s="295">
        <v>749</v>
      </c>
      <c r="T21" s="295">
        <v>749</v>
      </c>
      <c r="U21" s="295">
        <v>749</v>
      </c>
      <c r="V21" s="295">
        <v>749</v>
      </c>
      <c r="W21" s="97"/>
      <c r="X21" s="97"/>
      <c r="Y21" s="97"/>
      <c r="Z21" s="97"/>
    </row>
    <row r="22" spans="1:30" ht="45" customHeight="1">
      <c r="A22" s="535"/>
      <c r="B22" s="514"/>
      <c r="C22" s="516"/>
      <c r="D22" s="516"/>
      <c r="E22" s="516"/>
      <c r="F22" s="522"/>
      <c r="G22" s="286" t="s">
        <v>66</v>
      </c>
      <c r="H22" s="292" t="s">
        <v>774</v>
      </c>
      <c r="I22" s="293"/>
      <c r="J22" s="293"/>
      <c r="K22" s="293"/>
      <c r="L22" s="286"/>
      <c r="M22" s="286"/>
      <c r="N22" s="286"/>
      <c r="O22" s="286"/>
      <c r="P22" s="286">
        <v>111996.9</v>
      </c>
      <c r="Q22" s="286">
        <v>98975.8</v>
      </c>
      <c r="R22" s="286">
        <v>95588.5</v>
      </c>
      <c r="S22" s="286">
        <v>89571.7</v>
      </c>
      <c r="T22" s="286">
        <v>90037.5</v>
      </c>
      <c r="U22" s="286">
        <v>94809.5</v>
      </c>
      <c r="V22" s="286">
        <v>99834.42</v>
      </c>
      <c r="W22" s="97"/>
      <c r="X22" s="97"/>
      <c r="Y22" s="97"/>
      <c r="Z22" s="97" t="e">
        <f>Z20/Z19*P21</f>
        <v>#REF!</v>
      </c>
      <c r="AA22" s="97" t="e">
        <f>AA20/AA19*Q21</f>
        <v>#REF!</v>
      </c>
      <c r="AB22" s="97" t="e">
        <f>AB20/AB19*R21</f>
        <v>#REF!</v>
      </c>
      <c r="AC22" s="97" t="e">
        <f>AC20/AC19*S21</f>
        <v>#REF!</v>
      </c>
      <c r="AD22" s="97" t="e">
        <f>AD20/AD19*T21</f>
        <v>#REF!</v>
      </c>
    </row>
    <row r="23" spans="1:30" ht="15" customHeight="1">
      <c r="A23" s="534" t="s">
        <v>736</v>
      </c>
      <c r="B23" s="513" t="s">
        <v>757</v>
      </c>
      <c r="C23" s="515" t="s">
        <v>736</v>
      </c>
      <c r="D23" s="515" t="s">
        <v>757</v>
      </c>
      <c r="E23" s="515" t="s">
        <v>63</v>
      </c>
      <c r="F23" s="521" t="s">
        <v>71</v>
      </c>
      <c r="G23" s="286" t="s">
        <v>70</v>
      </c>
      <c r="H23" s="292" t="s">
        <v>749</v>
      </c>
      <c r="I23" s="293"/>
      <c r="J23" s="294">
        <f>1223+28+7</f>
        <v>1258</v>
      </c>
      <c r="K23" s="294">
        <f>1207+36+7</f>
        <v>1250</v>
      </c>
      <c r="L23" s="294">
        <v>1234</v>
      </c>
      <c r="M23" s="294">
        <v>1282</v>
      </c>
      <c r="N23" s="294">
        <v>1310</v>
      </c>
      <c r="O23" s="294">
        <v>1416</v>
      </c>
      <c r="P23" s="289"/>
      <c r="Q23" s="289"/>
      <c r="R23" s="289"/>
      <c r="S23" s="289"/>
      <c r="T23" s="289"/>
      <c r="U23" s="289"/>
      <c r="V23" s="289"/>
    </row>
    <row r="24" spans="1:30" ht="45" customHeight="1">
      <c r="A24" s="535"/>
      <c r="B24" s="514"/>
      <c r="C24" s="516"/>
      <c r="D24" s="516"/>
      <c r="E24" s="516"/>
      <c r="F24" s="522"/>
      <c r="G24" s="286" t="s">
        <v>66</v>
      </c>
      <c r="H24" s="292" t="s">
        <v>774</v>
      </c>
      <c r="I24" s="293"/>
      <c r="J24" s="293">
        <v>101453.6</v>
      </c>
      <c r="K24" s="293">
        <v>83947</v>
      </c>
      <c r="L24" s="286">
        <v>93760.4</v>
      </c>
      <c r="M24" s="286">
        <f>243993.7/2945*M23</f>
        <v>106213.89589134125</v>
      </c>
      <c r="N24" s="286">
        <f>251354.6/2860*N23</f>
        <v>115130.95314685313</v>
      </c>
      <c r="O24" s="286">
        <f>290739.8/2933*O23</f>
        <v>140363.98117967951</v>
      </c>
      <c r="P24" s="289"/>
      <c r="Q24" s="289"/>
      <c r="R24" s="289"/>
      <c r="S24" s="289"/>
      <c r="T24" s="289"/>
      <c r="U24" s="289"/>
      <c r="V24" s="289"/>
      <c r="X24" s="97"/>
      <c r="Y24" s="97"/>
    </row>
    <row r="25" spans="1:30" ht="15" customHeight="1">
      <c r="A25" s="534" t="s">
        <v>736</v>
      </c>
      <c r="B25" s="513" t="s">
        <v>757</v>
      </c>
      <c r="C25" s="515" t="s">
        <v>736</v>
      </c>
      <c r="D25" s="515" t="s">
        <v>757</v>
      </c>
      <c r="E25" s="515" t="s">
        <v>67</v>
      </c>
      <c r="F25" s="521" t="s">
        <v>71</v>
      </c>
      <c r="G25" s="286" t="s">
        <v>70</v>
      </c>
      <c r="H25" s="292" t="s">
        <v>749</v>
      </c>
      <c r="I25" s="293"/>
      <c r="J25" s="293"/>
      <c r="K25" s="293"/>
      <c r="L25" s="286"/>
      <c r="M25" s="286"/>
      <c r="N25" s="286"/>
      <c r="O25" s="286"/>
      <c r="P25" s="295">
        <v>1484</v>
      </c>
      <c r="Q25" s="295">
        <v>1470</v>
      </c>
      <c r="R25" s="295">
        <v>1433</v>
      </c>
      <c r="S25" s="295">
        <v>1361</v>
      </c>
      <c r="T25" s="295">
        <v>1361</v>
      </c>
      <c r="U25" s="295">
        <v>1361</v>
      </c>
      <c r="V25" s="295">
        <v>1361</v>
      </c>
      <c r="X25" s="97"/>
      <c r="Y25" s="97"/>
    </row>
    <row r="26" spans="1:30" ht="45" customHeight="1">
      <c r="A26" s="535"/>
      <c r="B26" s="514"/>
      <c r="C26" s="516"/>
      <c r="D26" s="516"/>
      <c r="E26" s="516"/>
      <c r="F26" s="522"/>
      <c r="G26" s="286" t="s">
        <v>66</v>
      </c>
      <c r="H26" s="292" t="s">
        <v>774</v>
      </c>
      <c r="I26" s="293"/>
      <c r="J26" s="293"/>
      <c r="K26" s="293"/>
      <c r="L26" s="286"/>
      <c r="M26" s="286"/>
      <c r="N26" s="286"/>
      <c r="O26" s="286"/>
      <c r="P26" s="286">
        <v>160582.9</v>
      </c>
      <c r="Q26" s="286">
        <v>154616.79999999999</v>
      </c>
      <c r="R26" s="286">
        <v>159462.5</v>
      </c>
      <c r="S26" s="286">
        <v>162759.70000000001</v>
      </c>
      <c r="T26" s="286">
        <v>163606.20000000001</v>
      </c>
      <c r="U26" s="286">
        <v>172277.34</v>
      </c>
      <c r="V26" s="286">
        <v>181408.08</v>
      </c>
      <c r="X26" s="97"/>
      <c r="Y26" s="97"/>
      <c r="Z26" t="e">
        <f>Z20/Z19*P25</f>
        <v>#REF!</v>
      </c>
      <c r="AA26" t="e">
        <f>AA20/AA19*Q25</f>
        <v>#REF!</v>
      </c>
      <c r="AB26" t="e">
        <f>AB20/AB19*R25</f>
        <v>#REF!</v>
      </c>
      <c r="AC26" t="e">
        <f>AC20/AC19*S25</f>
        <v>#REF!</v>
      </c>
      <c r="AD26" t="e">
        <f>AD20/AD19*T25</f>
        <v>#REF!</v>
      </c>
    </row>
    <row r="27" spans="1:30" ht="15" customHeight="1">
      <c r="A27" s="534" t="s">
        <v>736</v>
      </c>
      <c r="B27" s="513" t="s">
        <v>757</v>
      </c>
      <c r="C27" s="515" t="s">
        <v>736</v>
      </c>
      <c r="D27" s="515" t="s">
        <v>757</v>
      </c>
      <c r="E27" s="515" t="s">
        <v>63</v>
      </c>
      <c r="F27" s="521" t="s">
        <v>72</v>
      </c>
      <c r="G27" s="286" t="s">
        <v>70</v>
      </c>
      <c r="H27" s="292" t="s">
        <v>749</v>
      </c>
      <c r="I27" s="293"/>
      <c r="J27" s="294">
        <v>196</v>
      </c>
      <c r="K27" s="294">
        <v>208</v>
      </c>
      <c r="L27" s="294">
        <v>209</v>
      </c>
      <c r="M27" s="294">
        <v>190</v>
      </c>
      <c r="N27" s="294">
        <v>185</v>
      </c>
      <c r="O27" s="294">
        <v>175</v>
      </c>
      <c r="P27" s="289"/>
      <c r="Q27" s="289"/>
      <c r="R27" s="289"/>
      <c r="S27" s="289"/>
      <c r="T27" s="289"/>
      <c r="U27" s="289"/>
      <c r="V27" s="289"/>
    </row>
    <row r="28" spans="1:30" ht="45" customHeight="1">
      <c r="A28" s="535"/>
      <c r="B28" s="514"/>
      <c r="C28" s="516"/>
      <c r="D28" s="516"/>
      <c r="E28" s="516"/>
      <c r="F28" s="522"/>
      <c r="G28" s="286" t="s">
        <v>66</v>
      </c>
      <c r="H28" s="292" t="s">
        <v>774</v>
      </c>
      <c r="I28" s="293"/>
      <c r="J28" s="293">
        <v>15806.8</v>
      </c>
      <c r="K28" s="293">
        <v>13507.2</v>
      </c>
      <c r="L28" s="286">
        <v>15880</v>
      </c>
      <c r="M28" s="286">
        <f>243993.7/2945*M27</f>
        <v>15741.529032258064</v>
      </c>
      <c r="N28" s="286">
        <f>251354.6/2860*N27</f>
        <v>16258.951398601397</v>
      </c>
      <c r="O28" s="286">
        <f>290739.8/2933*O27</f>
        <v>17347.243436754175</v>
      </c>
      <c r="P28" s="289"/>
      <c r="Q28" s="289"/>
      <c r="R28" s="289"/>
      <c r="S28" s="289"/>
      <c r="T28" s="289"/>
      <c r="U28" s="289"/>
      <c r="V28" s="289"/>
      <c r="X28" s="97"/>
      <c r="Y28" s="97"/>
    </row>
    <row r="29" spans="1:30" ht="15" customHeight="1">
      <c r="A29" s="534" t="s">
        <v>736</v>
      </c>
      <c r="B29" s="513" t="s">
        <v>757</v>
      </c>
      <c r="C29" s="515" t="s">
        <v>736</v>
      </c>
      <c r="D29" s="515" t="s">
        <v>757</v>
      </c>
      <c r="E29" s="515" t="s">
        <v>63</v>
      </c>
      <c r="F29" s="521" t="s">
        <v>72</v>
      </c>
      <c r="G29" s="286" t="s">
        <v>70</v>
      </c>
      <c r="H29" s="292" t="s">
        <v>749</v>
      </c>
      <c r="I29" s="293"/>
      <c r="J29" s="293"/>
      <c r="K29" s="293"/>
      <c r="L29" s="286"/>
      <c r="M29" s="286"/>
      <c r="N29" s="286"/>
      <c r="O29" s="286"/>
      <c r="P29" s="296">
        <v>161</v>
      </c>
      <c r="Q29" s="296">
        <v>183</v>
      </c>
      <c r="R29" s="296">
        <v>177</v>
      </c>
      <c r="S29" s="296">
        <v>196</v>
      </c>
      <c r="T29" s="296">
        <v>196</v>
      </c>
      <c r="U29" s="296">
        <v>196</v>
      </c>
      <c r="V29" s="296">
        <v>196</v>
      </c>
      <c r="X29" s="97"/>
      <c r="Y29" s="97"/>
    </row>
    <row r="30" spans="1:30" ht="45" customHeight="1">
      <c r="A30" s="535"/>
      <c r="B30" s="514"/>
      <c r="C30" s="516"/>
      <c r="D30" s="516"/>
      <c r="E30" s="516"/>
      <c r="F30" s="522"/>
      <c r="G30" s="286" t="s">
        <v>66</v>
      </c>
      <c r="H30" s="292" t="s">
        <v>774</v>
      </c>
      <c r="I30" s="293"/>
      <c r="J30" s="293"/>
      <c r="K30" s="293"/>
      <c r="L30" s="286"/>
      <c r="M30" s="286"/>
      <c r="N30" s="286"/>
      <c r="O30" s="286"/>
      <c r="P30" s="286">
        <v>17421.7</v>
      </c>
      <c r="Q30" s="286">
        <v>19248.2</v>
      </c>
      <c r="R30" s="286">
        <v>19696.400000000001</v>
      </c>
      <c r="S30" s="286">
        <v>23439.3</v>
      </c>
      <c r="T30" s="286">
        <v>23561.200000000001</v>
      </c>
      <c r="U30" s="286">
        <v>24809.96</v>
      </c>
      <c r="V30" s="286">
        <v>26124.89</v>
      </c>
      <c r="X30" s="97"/>
      <c r="Y30" s="97"/>
      <c r="Z30" t="e">
        <f>Z20/Z19*P29</f>
        <v>#REF!</v>
      </c>
      <c r="AA30" t="e">
        <f>AA20/AA19*Q29</f>
        <v>#REF!</v>
      </c>
      <c r="AB30" t="e">
        <f>AB20/AB19*R29</f>
        <v>#REF!</v>
      </c>
      <c r="AC30" t="e">
        <f>AC20/AC19*S29</f>
        <v>#REF!</v>
      </c>
      <c r="AD30" t="e">
        <f>AD20/AD19*T29</f>
        <v>#REF!</v>
      </c>
    </row>
    <row r="31" spans="1:30" ht="22.5" customHeight="1">
      <c r="A31" s="534" t="s">
        <v>736</v>
      </c>
      <c r="B31" s="513" t="s">
        <v>757</v>
      </c>
      <c r="C31" s="515" t="s">
        <v>736</v>
      </c>
      <c r="D31" s="515" t="s">
        <v>757</v>
      </c>
      <c r="E31" s="515" t="s">
        <v>63</v>
      </c>
      <c r="F31" s="521" t="s">
        <v>73</v>
      </c>
      <c r="G31" s="286" t="s">
        <v>74</v>
      </c>
      <c r="H31" s="292" t="s">
        <v>749</v>
      </c>
      <c r="I31" s="293"/>
      <c r="J31" s="293">
        <v>191</v>
      </c>
      <c r="K31" s="293">
        <v>180</v>
      </c>
      <c r="L31" s="293">
        <v>194</v>
      </c>
      <c r="M31" s="296">
        <v>183</v>
      </c>
      <c r="N31" s="296">
        <v>188</v>
      </c>
      <c r="O31" s="296">
        <v>171</v>
      </c>
      <c r="P31" s="289"/>
      <c r="Q31" s="289"/>
      <c r="R31" s="289"/>
      <c r="S31" s="289"/>
      <c r="T31" s="289"/>
      <c r="U31" s="289"/>
      <c r="V31" s="289"/>
    </row>
    <row r="32" spans="1:30" ht="45" customHeight="1">
      <c r="A32" s="535"/>
      <c r="B32" s="514"/>
      <c r="C32" s="516"/>
      <c r="D32" s="516"/>
      <c r="E32" s="516"/>
      <c r="F32" s="522"/>
      <c r="G32" s="286" t="s">
        <v>66</v>
      </c>
      <c r="H32" s="292" t="s">
        <v>774</v>
      </c>
      <c r="I32" s="293"/>
      <c r="J32" s="293">
        <v>14278.9</v>
      </c>
      <c r="K32" s="293">
        <v>12966.9</v>
      </c>
      <c r="L32" s="286">
        <v>14740.3</v>
      </c>
      <c r="M32" s="286">
        <f>243993.7/2945*M31</f>
        <v>15161.577962648556</v>
      </c>
      <c r="N32" s="286">
        <f>251354.6/2860*N31</f>
        <v>16522.61006993007</v>
      </c>
      <c r="O32" s="286">
        <f>290739.8/2933*O31</f>
        <v>16950.735015342652</v>
      </c>
      <c r="P32" s="289"/>
      <c r="Q32" s="289"/>
      <c r="R32" s="289"/>
      <c r="S32" s="289"/>
      <c r="T32" s="289"/>
      <c r="U32" s="289"/>
      <c r="V32" s="289"/>
      <c r="W32" s="97"/>
      <c r="AA32" s="97"/>
      <c r="AB32" s="97"/>
    </row>
    <row r="33" spans="1:30" ht="22.5" customHeight="1">
      <c r="A33" s="534" t="s">
        <v>736</v>
      </c>
      <c r="B33" s="513" t="s">
        <v>757</v>
      </c>
      <c r="C33" s="515" t="s">
        <v>736</v>
      </c>
      <c r="D33" s="515" t="s">
        <v>757</v>
      </c>
      <c r="E33" s="515" t="s">
        <v>67</v>
      </c>
      <c r="F33" s="521" t="s">
        <v>73</v>
      </c>
      <c r="G33" s="286" t="s">
        <v>74</v>
      </c>
      <c r="H33" s="292" t="s">
        <v>749</v>
      </c>
      <c r="I33" s="293"/>
      <c r="J33" s="293"/>
      <c r="K33" s="293"/>
      <c r="L33" s="286"/>
      <c r="M33" s="286"/>
      <c r="N33" s="286"/>
      <c r="O33" s="286"/>
      <c r="P33" s="296">
        <v>175</v>
      </c>
      <c r="Q33" s="296">
        <v>163</v>
      </c>
      <c r="R33" s="296">
        <v>146</v>
      </c>
      <c r="S33" s="296">
        <v>135</v>
      </c>
      <c r="T33" s="296">
        <v>135</v>
      </c>
      <c r="U33" s="296">
        <v>135</v>
      </c>
      <c r="V33" s="296">
        <v>135</v>
      </c>
      <c r="W33" s="97"/>
      <c r="AA33" s="97"/>
      <c r="AB33" s="97"/>
    </row>
    <row r="34" spans="1:30" ht="45" customHeight="1">
      <c r="A34" s="535"/>
      <c r="B34" s="514"/>
      <c r="C34" s="516"/>
      <c r="D34" s="516"/>
      <c r="E34" s="516"/>
      <c r="F34" s="522"/>
      <c r="G34" s="286" t="s">
        <v>66</v>
      </c>
      <c r="H34" s="292" t="s">
        <v>774</v>
      </c>
      <c r="I34" s="293"/>
      <c r="J34" s="293"/>
      <c r="K34" s="293"/>
      <c r="L34" s="286"/>
      <c r="M34" s="286"/>
      <c r="N34" s="286"/>
      <c r="O34" s="286"/>
      <c r="P34" s="286">
        <v>18936.7</v>
      </c>
      <c r="Q34" s="286">
        <v>17144.599999999999</v>
      </c>
      <c r="R34" s="286">
        <v>16246.7</v>
      </c>
      <c r="S34" s="286">
        <v>16144.4</v>
      </c>
      <c r="T34" s="286">
        <v>16228.4</v>
      </c>
      <c r="U34" s="286">
        <v>17088.490000000002</v>
      </c>
      <c r="V34" s="286">
        <v>17994.189999999999</v>
      </c>
      <c r="W34" s="97"/>
      <c r="Z34" t="e">
        <f>Z20/Z19*P33</f>
        <v>#REF!</v>
      </c>
      <c r="AA34" t="e">
        <f>AA20/AA19*Q33</f>
        <v>#REF!</v>
      </c>
      <c r="AB34" t="e">
        <f>AB20/AB19*R33</f>
        <v>#REF!</v>
      </c>
      <c r="AC34" t="e">
        <f>AC20/AC19*S33</f>
        <v>#REF!</v>
      </c>
      <c r="AD34" t="e">
        <f>AD20/AD19*T33</f>
        <v>#REF!</v>
      </c>
    </row>
    <row r="35" spans="1:30" ht="22.5" customHeight="1">
      <c r="A35" s="534"/>
      <c r="B35" s="513"/>
      <c r="C35" s="515"/>
      <c r="D35" s="515"/>
      <c r="E35" s="515"/>
      <c r="F35" s="521" t="s">
        <v>75</v>
      </c>
      <c r="G35" s="286" t="s">
        <v>74</v>
      </c>
      <c r="H35" s="292" t="s">
        <v>749</v>
      </c>
      <c r="I35" s="293">
        <v>109</v>
      </c>
      <c r="J35" s="293"/>
      <c r="K35" s="293"/>
      <c r="L35" s="293"/>
      <c r="M35" s="293"/>
      <c r="N35" s="293"/>
      <c r="O35" s="293"/>
      <c r="P35" s="293"/>
      <c r="Q35" s="293"/>
      <c r="R35" s="293"/>
      <c r="S35" s="293"/>
      <c r="T35" s="293"/>
      <c r="U35" s="293"/>
      <c r="V35" s="293"/>
      <c r="X35" s="97">
        <f>M20+M24+M28+M32</f>
        <v>243993.69999999998</v>
      </c>
      <c r="Y35" s="97">
        <f>N20+N24+N28+N32</f>
        <v>251354.59999999998</v>
      </c>
      <c r="Z35" s="97" t="e">
        <f>Z34+Z30+Z26+Z22</f>
        <v>#REF!</v>
      </c>
      <c r="AA35" s="97" t="e">
        <f>AA34+AA30+AA26+AA22</f>
        <v>#REF!</v>
      </c>
      <c r="AB35" s="97" t="e">
        <f>AB34+AB30+AB26+AB22</f>
        <v>#REF!</v>
      </c>
      <c r="AC35" s="97" t="e">
        <f>AC34+AC30+AC26+AC22</f>
        <v>#REF!</v>
      </c>
    </row>
    <row r="36" spans="1:30" ht="13.5" customHeight="1">
      <c r="A36" s="540"/>
      <c r="B36" s="542"/>
      <c r="C36" s="528"/>
      <c r="D36" s="528"/>
      <c r="E36" s="528"/>
      <c r="F36" s="527"/>
      <c r="G36" s="286" t="s">
        <v>70</v>
      </c>
      <c r="H36" s="292" t="s">
        <v>749</v>
      </c>
      <c r="I36" s="293">
        <v>2395</v>
      </c>
      <c r="J36" s="294"/>
      <c r="K36" s="293"/>
      <c r="L36" s="293"/>
      <c r="M36" s="293"/>
      <c r="N36" s="293"/>
      <c r="O36" s="293"/>
      <c r="P36" s="293"/>
      <c r="Q36" s="293"/>
      <c r="R36" s="293"/>
      <c r="S36" s="293"/>
      <c r="T36" s="293"/>
      <c r="U36" s="293"/>
      <c r="V36" s="293"/>
    </row>
    <row r="37" spans="1:30" ht="71.25" customHeight="1">
      <c r="A37" s="535"/>
      <c r="B37" s="514"/>
      <c r="C37" s="516"/>
      <c r="D37" s="516"/>
      <c r="E37" s="516"/>
      <c r="F37" s="522"/>
      <c r="G37" s="286" t="s">
        <v>66</v>
      </c>
      <c r="H37" s="292" t="s">
        <v>774</v>
      </c>
      <c r="I37" s="293">
        <v>232594</v>
      </c>
      <c r="J37" s="293"/>
      <c r="K37" s="293"/>
      <c r="L37" s="286"/>
      <c r="M37" s="286"/>
      <c r="N37" s="286"/>
      <c r="O37" s="286"/>
      <c r="P37" s="286"/>
      <c r="Q37" s="286"/>
      <c r="R37" s="286"/>
      <c r="S37" s="286"/>
      <c r="T37" s="286"/>
      <c r="U37" s="286"/>
      <c r="V37" s="286"/>
    </row>
    <row r="38" spans="1:30">
      <c r="A38" s="282" t="s">
        <v>736</v>
      </c>
      <c r="B38" s="290">
        <v>3</v>
      </c>
      <c r="C38" s="297"/>
      <c r="D38" s="297"/>
      <c r="E38" s="297"/>
      <c r="F38" s="519" t="s">
        <v>76</v>
      </c>
      <c r="G38" s="520"/>
      <c r="H38" s="520"/>
      <c r="I38" s="520"/>
      <c r="J38" s="520"/>
      <c r="K38" s="520"/>
      <c r="L38" s="520"/>
      <c r="M38" s="520"/>
      <c r="N38" s="520"/>
      <c r="O38" s="520"/>
      <c r="P38" s="520"/>
      <c r="Q38" s="520"/>
      <c r="R38" s="520"/>
      <c r="S38" s="520"/>
      <c r="T38" s="291"/>
      <c r="U38" s="291"/>
      <c r="V38" s="291"/>
    </row>
    <row r="39" spans="1:30" ht="15" customHeight="1">
      <c r="A39" s="534" t="s">
        <v>736</v>
      </c>
      <c r="B39" s="513" t="s">
        <v>780</v>
      </c>
      <c r="C39" s="515" t="s">
        <v>736</v>
      </c>
      <c r="D39" s="515"/>
      <c r="E39" s="515" t="s">
        <v>63</v>
      </c>
      <c r="F39" s="523" t="s">
        <v>77</v>
      </c>
      <c r="G39" s="286" t="s">
        <v>70</v>
      </c>
      <c r="H39" s="292" t="s">
        <v>78</v>
      </c>
      <c r="I39" s="293"/>
      <c r="J39" s="293">
        <v>390743</v>
      </c>
      <c r="K39" s="293">
        <v>390897</v>
      </c>
      <c r="L39" s="293">
        <v>394725</v>
      </c>
      <c r="M39" s="296">
        <v>419265</v>
      </c>
      <c r="N39" s="296">
        <v>425232</v>
      </c>
      <c r="O39" s="296">
        <v>391379</v>
      </c>
      <c r="P39" s="289"/>
      <c r="Q39" s="289"/>
      <c r="R39" s="289"/>
      <c r="S39" s="289"/>
      <c r="T39" s="289"/>
      <c r="U39" s="289"/>
      <c r="V39" s="289"/>
    </row>
    <row r="40" spans="1:30" ht="45" customHeight="1">
      <c r="A40" s="535"/>
      <c r="B40" s="514"/>
      <c r="C40" s="516"/>
      <c r="D40" s="516"/>
      <c r="E40" s="516"/>
      <c r="F40" s="524"/>
      <c r="G40" s="286" t="s">
        <v>66</v>
      </c>
      <c r="H40" s="292" t="s">
        <v>774</v>
      </c>
      <c r="I40" s="293"/>
      <c r="J40" s="293">
        <v>18767.3</v>
      </c>
      <c r="K40" s="293">
        <v>19644.3</v>
      </c>
      <c r="L40" s="286">
        <v>21810.3</v>
      </c>
      <c r="M40" s="286">
        <f>'[1]5 '!Q177</f>
        <v>18584.502</v>
      </c>
      <c r="N40" s="286">
        <f>'[1]5 '!R177</f>
        <v>18547.231</v>
      </c>
      <c r="O40" s="286">
        <f>'[1]5 '!S177</f>
        <v>19325.599999999999</v>
      </c>
      <c r="P40" s="289"/>
      <c r="Q40" s="289"/>
      <c r="R40" s="289"/>
      <c r="S40" s="289"/>
      <c r="T40" s="289"/>
      <c r="U40" s="289"/>
      <c r="V40" s="289"/>
    </row>
    <row r="41" spans="1:30" ht="15" customHeight="1">
      <c r="A41" s="534" t="s">
        <v>736</v>
      </c>
      <c r="B41" s="513" t="s">
        <v>780</v>
      </c>
      <c r="C41" s="515" t="s">
        <v>736</v>
      </c>
      <c r="D41" s="515"/>
      <c r="E41" s="515" t="s">
        <v>67</v>
      </c>
      <c r="F41" s="523" t="s">
        <v>77</v>
      </c>
      <c r="G41" s="286" t="s">
        <v>70</v>
      </c>
      <c r="H41" s="292" t="s">
        <v>78</v>
      </c>
      <c r="I41" s="293"/>
      <c r="J41" s="293"/>
      <c r="K41" s="293"/>
      <c r="L41" s="286"/>
      <c r="M41" s="286"/>
      <c r="N41" s="286"/>
      <c r="O41" s="286"/>
      <c r="P41" s="296">
        <v>577702</v>
      </c>
      <c r="Q41" s="296">
        <v>542504</v>
      </c>
      <c r="R41" s="296">
        <v>542504</v>
      </c>
      <c r="S41" s="296">
        <v>542504</v>
      </c>
      <c r="T41" s="296">
        <v>542504</v>
      </c>
      <c r="U41" s="296">
        <v>542504</v>
      </c>
      <c r="V41" s="296">
        <v>542504</v>
      </c>
    </row>
    <row r="42" spans="1:30" ht="45" customHeight="1">
      <c r="A42" s="535"/>
      <c r="B42" s="514"/>
      <c r="C42" s="516"/>
      <c r="D42" s="516"/>
      <c r="E42" s="516"/>
      <c r="F42" s="524"/>
      <c r="G42" s="286" t="s">
        <v>66</v>
      </c>
      <c r="H42" s="292" t="s">
        <v>774</v>
      </c>
      <c r="I42" s="293"/>
      <c r="J42" s="293"/>
      <c r="K42" s="293"/>
      <c r="L42" s="286"/>
      <c r="M42" s="286"/>
      <c r="N42" s="286"/>
      <c r="O42" s="286"/>
      <c r="P42" s="286">
        <f>'[1]5 '!T178</f>
        <v>19496.2</v>
      </c>
      <c r="Q42" s="286">
        <f>'[1]5 '!U178</f>
        <v>24911.7</v>
      </c>
      <c r="R42" s="286">
        <f>'[1]5 '!V178</f>
        <v>24911.7</v>
      </c>
      <c r="S42" s="286">
        <f>'[1]5 '!W178</f>
        <v>23515.5</v>
      </c>
      <c r="T42" s="286">
        <f>'[1]5 '!X178</f>
        <v>24781.4</v>
      </c>
      <c r="U42" s="286">
        <f>'[1]5 '!Y178</f>
        <v>26094.814200000001</v>
      </c>
      <c r="V42" s="286">
        <f>'[1]5 '!Z178</f>
        <v>27477.8393526</v>
      </c>
    </row>
    <row r="43" spans="1:30" ht="15" customHeight="1">
      <c r="A43" s="534"/>
      <c r="B43" s="513"/>
      <c r="C43" s="515"/>
      <c r="D43" s="515"/>
      <c r="E43" s="515"/>
      <c r="F43" s="523" t="s">
        <v>79</v>
      </c>
      <c r="G43" s="286" t="s">
        <v>70</v>
      </c>
      <c r="H43" s="292" t="s">
        <v>749</v>
      </c>
      <c r="I43" s="293">
        <v>2125</v>
      </c>
      <c r="J43" s="293"/>
      <c r="K43" s="293"/>
      <c r="L43" s="293"/>
      <c r="M43" s="293"/>
      <c r="N43" s="293"/>
      <c r="O43" s="293"/>
      <c r="P43" s="293"/>
      <c r="Q43" s="293"/>
      <c r="R43" s="293"/>
      <c r="S43" s="293"/>
      <c r="T43" s="293"/>
      <c r="U43" s="293"/>
      <c r="V43" s="293"/>
    </row>
    <row r="44" spans="1:30" ht="72" customHeight="1">
      <c r="A44" s="535"/>
      <c r="B44" s="514"/>
      <c r="C44" s="516"/>
      <c r="D44" s="516"/>
      <c r="E44" s="516"/>
      <c r="F44" s="524"/>
      <c r="G44" s="286" t="s">
        <v>66</v>
      </c>
      <c r="H44" s="292" t="s">
        <v>774</v>
      </c>
      <c r="I44" s="293">
        <v>19966</v>
      </c>
      <c r="J44" s="293"/>
      <c r="K44" s="293"/>
      <c r="L44" s="286"/>
      <c r="M44" s="286"/>
      <c r="N44" s="286"/>
      <c r="O44" s="286"/>
      <c r="P44" s="286"/>
      <c r="Q44" s="286"/>
      <c r="R44" s="286"/>
      <c r="S44" s="286"/>
      <c r="T44" s="286"/>
      <c r="U44" s="286"/>
      <c r="V44" s="286"/>
    </row>
    <row r="45" spans="1:30" ht="15" customHeight="1">
      <c r="A45" s="534" t="s">
        <v>736</v>
      </c>
      <c r="B45" s="513" t="s">
        <v>780</v>
      </c>
      <c r="C45" s="515" t="s">
        <v>736</v>
      </c>
      <c r="D45" s="515"/>
      <c r="E45" s="515" t="s">
        <v>80</v>
      </c>
      <c r="F45" s="523" t="s">
        <v>81</v>
      </c>
      <c r="G45" s="286" t="s">
        <v>82</v>
      </c>
      <c r="H45" s="292" t="s">
        <v>83</v>
      </c>
      <c r="I45" s="293"/>
      <c r="J45" s="293"/>
      <c r="K45" s="293"/>
      <c r="L45" s="293">
        <v>48177</v>
      </c>
      <c r="M45" s="296">
        <v>47160</v>
      </c>
      <c r="N45" s="296">
        <v>45283</v>
      </c>
      <c r="O45" s="296">
        <v>52770</v>
      </c>
      <c r="P45" s="289"/>
      <c r="Q45" s="289"/>
      <c r="R45" s="289"/>
      <c r="S45" s="289"/>
      <c r="T45" s="289"/>
      <c r="U45" s="289"/>
      <c r="V45" s="289"/>
    </row>
    <row r="46" spans="1:30" ht="45" customHeight="1">
      <c r="A46" s="535"/>
      <c r="B46" s="514"/>
      <c r="C46" s="516"/>
      <c r="D46" s="516"/>
      <c r="E46" s="516"/>
      <c r="F46" s="524"/>
      <c r="G46" s="286" t="s">
        <v>66</v>
      </c>
      <c r="H46" s="292" t="s">
        <v>774</v>
      </c>
      <c r="I46" s="293"/>
      <c r="J46" s="293"/>
      <c r="K46" s="293"/>
      <c r="L46" s="293">
        <v>6627.3</v>
      </c>
      <c r="M46" s="293">
        <f>'[1]5 '!Q179</f>
        <v>6068.92</v>
      </c>
      <c r="N46" s="293">
        <f>'[1]5 '!R179</f>
        <v>6512.3</v>
      </c>
      <c r="O46" s="293">
        <f>'[1]5 '!S179</f>
        <v>5944.6</v>
      </c>
      <c r="P46" s="289"/>
      <c r="Q46" s="289"/>
      <c r="R46" s="289"/>
      <c r="S46" s="289"/>
      <c r="T46" s="289"/>
      <c r="U46" s="289"/>
      <c r="V46" s="289"/>
    </row>
    <row r="47" spans="1:30" ht="15" customHeight="1">
      <c r="A47" s="534" t="s">
        <v>736</v>
      </c>
      <c r="B47" s="513" t="s">
        <v>780</v>
      </c>
      <c r="C47" s="515" t="s">
        <v>736</v>
      </c>
      <c r="D47" s="515"/>
      <c r="E47" s="515" t="s">
        <v>84</v>
      </c>
      <c r="F47" s="523" t="s">
        <v>81</v>
      </c>
      <c r="G47" s="286" t="s">
        <v>82</v>
      </c>
      <c r="H47" s="292" t="s">
        <v>83</v>
      </c>
      <c r="I47" s="293"/>
      <c r="J47" s="293"/>
      <c r="K47" s="293"/>
      <c r="L47" s="293"/>
      <c r="M47" s="293"/>
      <c r="N47" s="293"/>
      <c r="O47" s="293"/>
      <c r="P47" s="296">
        <v>55118</v>
      </c>
      <c r="Q47" s="296">
        <v>55050</v>
      </c>
      <c r="R47" s="296">
        <v>50494</v>
      </c>
      <c r="S47" s="296">
        <v>50494</v>
      </c>
      <c r="T47" s="296">
        <v>50494</v>
      </c>
      <c r="U47" s="296">
        <v>50494</v>
      </c>
      <c r="V47" s="296">
        <v>50494</v>
      </c>
    </row>
    <row r="48" spans="1:30" ht="45" customHeight="1">
      <c r="A48" s="535"/>
      <c r="B48" s="514"/>
      <c r="C48" s="516"/>
      <c r="D48" s="516"/>
      <c r="E48" s="516"/>
      <c r="F48" s="524"/>
      <c r="G48" s="286" t="s">
        <v>66</v>
      </c>
      <c r="H48" s="292" t="s">
        <v>774</v>
      </c>
      <c r="I48" s="293"/>
      <c r="J48" s="293"/>
      <c r="K48" s="293"/>
      <c r="L48" s="293"/>
      <c r="M48" s="293"/>
      <c r="N48" s="293"/>
      <c r="O48" s="293"/>
      <c r="P48" s="293">
        <f>'[1]5 '!T180</f>
        <v>6393.6</v>
      </c>
      <c r="Q48" s="293">
        <f>'[1]5 '!U180</f>
        <v>7177.2</v>
      </c>
      <c r="R48" s="293">
        <f>'[1]5 '!V180</f>
        <v>7177.2</v>
      </c>
      <c r="S48" s="293">
        <f>'[1]5 '!W180</f>
        <v>0</v>
      </c>
      <c r="T48" s="293">
        <f>'[1]5 '!X180</f>
        <v>0</v>
      </c>
      <c r="U48" s="293">
        <f>'[1]5 '!Y180</f>
        <v>0</v>
      </c>
      <c r="V48" s="293">
        <f>'[1]5 '!Z180</f>
        <v>0</v>
      </c>
    </row>
    <row r="49" spans="1:22" ht="15" customHeight="1">
      <c r="A49" s="534" t="s">
        <v>736</v>
      </c>
      <c r="B49" s="513" t="s">
        <v>780</v>
      </c>
      <c r="C49" s="515"/>
      <c r="D49" s="515"/>
      <c r="E49" s="515"/>
      <c r="F49" s="523" t="s">
        <v>81</v>
      </c>
      <c r="G49" s="286" t="s">
        <v>82</v>
      </c>
      <c r="H49" s="292" t="s">
        <v>749</v>
      </c>
      <c r="I49" s="293">
        <v>165</v>
      </c>
      <c r="J49" s="293">
        <v>166</v>
      </c>
      <c r="K49" s="293">
        <v>170</v>
      </c>
      <c r="L49" s="293"/>
      <c r="M49" s="293"/>
      <c r="N49" s="293"/>
      <c r="O49" s="293"/>
      <c r="P49" s="293"/>
      <c r="Q49" s="293"/>
      <c r="R49" s="293"/>
      <c r="S49" s="293"/>
      <c r="T49" s="293"/>
      <c r="U49" s="293"/>
      <c r="V49" s="293"/>
    </row>
    <row r="50" spans="1:22" ht="45" customHeight="1">
      <c r="A50" s="535"/>
      <c r="B50" s="514"/>
      <c r="C50" s="516"/>
      <c r="D50" s="516"/>
      <c r="E50" s="516"/>
      <c r="F50" s="524"/>
      <c r="G50" s="286" t="s">
        <v>66</v>
      </c>
      <c r="H50" s="292" t="s">
        <v>774</v>
      </c>
      <c r="I50" s="293">
        <v>5253.2</v>
      </c>
      <c r="J50" s="293">
        <v>5575</v>
      </c>
      <c r="K50" s="293">
        <v>6055.3</v>
      </c>
      <c r="L50" s="293"/>
      <c r="M50" s="293"/>
      <c r="N50" s="293"/>
      <c r="O50" s="293"/>
      <c r="P50" s="293"/>
      <c r="Q50" s="293"/>
      <c r="R50" s="293"/>
      <c r="S50" s="293"/>
      <c r="T50" s="293"/>
      <c r="U50" s="293"/>
      <c r="V50" s="293"/>
    </row>
    <row r="51" spans="1:22">
      <c r="A51" s="282" t="s">
        <v>736</v>
      </c>
      <c r="B51" s="282" t="s">
        <v>803</v>
      </c>
      <c r="C51" s="298"/>
      <c r="D51" s="298"/>
      <c r="E51" s="298"/>
      <c r="F51" s="519" t="s">
        <v>85</v>
      </c>
      <c r="G51" s="520"/>
      <c r="H51" s="520"/>
      <c r="I51" s="520"/>
      <c r="J51" s="520"/>
      <c r="K51" s="520"/>
      <c r="L51" s="520"/>
      <c r="M51" s="520"/>
      <c r="N51" s="520"/>
      <c r="O51" s="520"/>
      <c r="P51" s="520"/>
      <c r="Q51" s="520"/>
      <c r="R51" s="520"/>
      <c r="S51" s="520"/>
      <c r="T51" s="291"/>
      <c r="U51" s="291"/>
      <c r="V51" s="291"/>
    </row>
    <row r="52" spans="1:22" ht="15" customHeight="1">
      <c r="A52" s="539" t="s">
        <v>736</v>
      </c>
      <c r="B52" s="541" t="s">
        <v>803</v>
      </c>
      <c r="C52" s="515" t="s">
        <v>859</v>
      </c>
      <c r="D52" s="515"/>
      <c r="E52" s="515" t="s">
        <v>86</v>
      </c>
      <c r="F52" s="523" t="s">
        <v>87</v>
      </c>
      <c r="G52" s="286" t="s">
        <v>88</v>
      </c>
      <c r="H52" s="292" t="s">
        <v>89</v>
      </c>
      <c r="I52" s="293">
        <v>75</v>
      </c>
      <c r="J52" s="293">
        <v>80</v>
      </c>
      <c r="K52" s="293">
        <v>132</v>
      </c>
      <c r="L52" s="293">
        <v>132</v>
      </c>
      <c r="M52" s="296">
        <v>132</v>
      </c>
      <c r="N52" s="296">
        <v>132</v>
      </c>
      <c r="O52" s="296">
        <v>132</v>
      </c>
      <c r="P52" s="289"/>
      <c r="Q52" s="289"/>
      <c r="R52" s="289"/>
      <c r="S52" s="289"/>
      <c r="T52" s="289"/>
      <c r="U52" s="289"/>
      <c r="V52" s="289"/>
    </row>
    <row r="53" spans="1:22" ht="51" customHeight="1">
      <c r="A53" s="540"/>
      <c r="B53" s="542"/>
      <c r="C53" s="516"/>
      <c r="D53" s="516"/>
      <c r="E53" s="516"/>
      <c r="F53" s="524"/>
      <c r="G53" s="286" t="s">
        <v>90</v>
      </c>
      <c r="H53" s="292" t="s">
        <v>774</v>
      </c>
      <c r="I53" s="293">
        <v>1128</v>
      </c>
      <c r="J53" s="293">
        <v>1145.8</v>
      </c>
      <c r="K53" s="293">
        <v>1214.5</v>
      </c>
      <c r="L53" s="293">
        <v>1019.9</v>
      </c>
      <c r="M53" s="293">
        <f>'[1]5 '!Q191</f>
        <v>825.45</v>
      </c>
      <c r="N53" s="293">
        <f>'[1]5 '!R191</f>
        <v>148.86600000000001</v>
      </c>
      <c r="O53" s="293">
        <f>'[1]5 '!S191</f>
        <v>0</v>
      </c>
      <c r="P53" s="289"/>
      <c r="Q53" s="289"/>
      <c r="R53" s="289"/>
      <c r="S53" s="289"/>
      <c r="T53" s="289"/>
      <c r="U53" s="289"/>
      <c r="V53" s="289"/>
    </row>
    <row r="54" spans="1:22" ht="30" customHeight="1">
      <c r="A54" s="539" t="s">
        <v>736</v>
      </c>
      <c r="B54" s="541" t="s">
        <v>803</v>
      </c>
      <c r="C54" s="515" t="s">
        <v>859</v>
      </c>
      <c r="D54" s="515"/>
      <c r="E54" s="515" t="s">
        <v>84</v>
      </c>
      <c r="F54" s="523" t="s">
        <v>91</v>
      </c>
      <c r="G54" s="286" t="s">
        <v>88</v>
      </c>
      <c r="H54" s="292" t="s">
        <v>89</v>
      </c>
      <c r="I54" s="293"/>
      <c r="J54" s="293"/>
      <c r="K54" s="293"/>
      <c r="L54" s="293"/>
      <c r="M54" s="293"/>
      <c r="N54" s="293"/>
      <c r="O54" s="293"/>
      <c r="P54" s="296">
        <v>0</v>
      </c>
      <c r="Q54" s="296">
        <v>0</v>
      </c>
      <c r="R54" s="296">
        <v>0</v>
      </c>
      <c r="S54" s="296">
        <v>0</v>
      </c>
      <c r="T54" s="296">
        <v>0</v>
      </c>
      <c r="U54" s="296">
        <v>0</v>
      </c>
      <c r="V54" s="296">
        <v>0</v>
      </c>
    </row>
    <row r="55" spans="1:22" ht="47.25" customHeight="1">
      <c r="A55" s="540"/>
      <c r="B55" s="542"/>
      <c r="C55" s="516"/>
      <c r="D55" s="516"/>
      <c r="E55" s="516"/>
      <c r="F55" s="524"/>
      <c r="G55" s="286" t="s">
        <v>90</v>
      </c>
      <c r="H55" s="292" t="s">
        <v>774</v>
      </c>
      <c r="I55" s="293"/>
      <c r="J55" s="293"/>
      <c r="K55" s="293"/>
      <c r="L55" s="293"/>
      <c r="M55" s="293"/>
      <c r="N55" s="293"/>
      <c r="O55" s="293"/>
      <c r="P55" s="293">
        <f>'[1]5 '!T191</f>
        <v>0</v>
      </c>
      <c r="Q55" s="293">
        <f>'[1]5 '!U191</f>
        <v>0</v>
      </c>
      <c r="R55" s="293">
        <f>'[1]5 '!V191</f>
        <v>0</v>
      </c>
      <c r="S55" s="293">
        <f>'[1]5 '!W191</f>
        <v>0</v>
      </c>
      <c r="T55" s="293">
        <f>'[1]5 '!X191</f>
        <v>0</v>
      </c>
      <c r="U55" s="293">
        <f>'[1]5 '!Y191</f>
        <v>0</v>
      </c>
      <c r="V55" s="293">
        <f>'[1]5 '!Z191</f>
        <v>0</v>
      </c>
    </row>
    <row r="56" spans="1:22" ht="15" customHeight="1">
      <c r="A56" s="299" t="s">
        <v>736</v>
      </c>
      <c r="B56" s="299" t="s">
        <v>815</v>
      </c>
      <c r="C56" s="300"/>
      <c r="D56" s="300"/>
      <c r="E56" s="300"/>
      <c r="F56" s="517" t="s">
        <v>816</v>
      </c>
      <c r="G56" s="518"/>
      <c r="H56" s="518"/>
      <c r="I56" s="518"/>
      <c r="J56" s="518"/>
      <c r="K56" s="518"/>
      <c r="L56" s="518"/>
      <c r="M56" s="518"/>
      <c r="N56" s="518"/>
      <c r="O56" s="518"/>
      <c r="P56" s="518"/>
      <c r="Q56" s="518"/>
      <c r="R56" s="518"/>
      <c r="S56" s="518"/>
      <c r="T56" s="301"/>
      <c r="U56" s="301"/>
      <c r="V56" s="301"/>
    </row>
    <row r="57" spans="1:22" ht="33" customHeight="1">
      <c r="A57" s="515" t="s">
        <v>736</v>
      </c>
      <c r="B57" s="515" t="s">
        <v>815</v>
      </c>
      <c r="C57" s="515" t="s">
        <v>848</v>
      </c>
      <c r="D57" s="515"/>
      <c r="E57" s="515" t="s">
        <v>63</v>
      </c>
      <c r="F57" s="529" t="s">
        <v>92</v>
      </c>
      <c r="G57" s="286" t="s">
        <v>93</v>
      </c>
      <c r="H57" s="287" t="s">
        <v>94</v>
      </c>
      <c r="I57" s="293"/>
      <c r="J57" s="296">
        <v>33</v>
      </c>
      <c r="K57" s="296">
        <v>33</v>
      </c>
      <c r="L57" s="296">
        <v>31</v>
      </c>
      <c r="M57" s="296">
        <v>29</v>
      </c>
      <c r="N57" s="296">
        <v>28</v>
      </c>
      <c r="O57" s="296">
        <v>0</v>
      </c>
      <c r="P57" s="289"/>
      <c r="Q57" s="289"/>
      <c r="R57" s="289"/>
      <c r="S57" s="289"/>
      <c r="T57" s="289"/>
      <c r="U57" s="289"/>
      <c r="V57" s="289"/>
    </row>
    <row r="58" spans="1:22" ht="60.75" customHeight="1">
      <c r="A58" s="516"/>
      <c r="B58" s="516"/>
      <c r="C58" s="516"/>
      <c r="D58" s="516"/>
      <c r="E58" s="516"/>
      <c r="F58" s="530"/>
      <c r="G58" s="286" t="s">
        <v>95</v>
      </c>
      <c r="H58" s="292" t="s">
        <v>774</v>
      </c>
      <c r="I58" s="293"/>
      <c r="J58" s="293">
        <v>8173.9</v>
      </c>
      <c r="K58" s="293">
        <v>8577.7000000000007</v>
      </c>
      <c r="L58" s="293">
        <v>8741.4</v>
      </c>
      <c r="M58" s="293">
        <f>'[1]5 '!Q271</f>
        <v>8447.3019999999997</v>
      </c>
      <c r="N58" s="293">
        <f>'[1]5 '!R271</f>
        <v>0</v>
      </c>
      <c r="O58" s="293">
        <f>'[1]5 '!S271</f>
        <v>0</v>
      </c>
      <c r="P58" s="289"/>
      <c r="Q58" s="289"/>
      <c r="R58" s="289"/>
      <c r="S58" s="289"/>
      <c r="T58" s="289"/>
      <c r="U58" s="289"/>
      <c r="V58" s="289"/>
    </row>
    <row r="59" spans="1:22" ht="22.5" customHeight="1">
      <c r="A59" s="515" t="s">
        <v>736</v>
      </c>
      <c r="B59" s="515" t="s">
        <v>815</v>
      </c>
      <c r="C59" s="515" t="s">
        <v>848</v>
      </c>
      <c r="D59" s="515"/>
      <c r="E59" s="515" t="s">
        <v>67</v>
      </c>
      <c r="F59" s="529" t="s">
        <v>92</v>
      </c>
      <c r="G59" s="286" t="s">
        <v>93</v>
      </c>
      <c r="H59" s="287" t="s">
        <v>94</v>
      </c>
      <c r="I59" s="289"/>
      <c r="J59" s="302"/>
      <c r="K59" s="302"/>
      <c r="L59" s="302"/>
      <c r="M59" s="289"/>
      <c r="N59" s="289"/>
      <c r="O59" s="289"/>
      <c r="P59" s="296">
        <v>0</v>
      </c>
      <c r="Q59" s="296">
        <v>0</v>
      </c>
      <c r="R59" s="296">
        <v>0</v>
      </c>
      <c r="S59" s="296">
        <v>0</v>
      </c>
      <c r="T59" s="296">
        <v>0</v>
      </c>
      <c r="U59" s="296">
        <v>0</v>
      </c>
      <c r="V59" s="296">
        <v>0</v>
      </c>
    </row>
    <row r="60" spans="1:22" ht="33.75">
      <c r="A60" s="516"/>
      <c r="B60" s="516"/>
      <c r="C60" s="516"/>
      <c r="D60" s="516"/>
      <c r="E60" s="516"/>
      <c r="F60" s="530"/>
      <c r="G60" s="286" t="s">
        <v>95</v>
      </c>
      <c r="H60" s="292" t="s">
        <v>774</v>
      </c>
      <c r="I60" s="289"/>
      <c r="J60" s="302"/>
      <c r="K60" s="302"/>
      <c r="L60" s="302"/>
      <c r="M60" s="289"/>
      <c r="N60" s="289"/>
      <c r="O60" s="289"/>
      <c r="P60" s="293">
        <v>0</v>
      </c>
      <c r="Q60" s="293">
        <v>0</v>
      </c>
      <c r="R60" s="293">
        <v>0</v>
      </c>
      <c r="S60" s="293">
        <v>0</v>
      </c>
      <c r="T60" s="293">
        <v>0</v>
      </c>
      <c r="U60" s="293">
        <v>0</v>
      </c>
      <c r="V60" s="293">
        <v>0</v>
      </c>
    </row>
  </sheetData>
  <mergeCells count="158">
    <mergeCell ref="A35:A37"/>
    <mergeCell ref="A31:A32"/>
    <mergeCell ref="A47:A48"/>
    <mergeCell ref="B49:B50"/>
    <mergeCell ref="B47:B48"/>
    <mergeCell ref="B41:B42"/>
    <mergeCell ref="A27:A28"/>
    <mergeCell ref="A39:A40"/>
    <mergeCell ref="B33:B34"/>
    <mergeCell ref="B27:B28"/>
    <mergeCell ref="B39:B40"/>
    <mergeCell ref="B35:B37"/>
    <mergeCell ref="B43:B44"/>
    <mergeCell ref="A45:A46"/>
    <mergeCell ref="B45:B46"/>
    <mergeCell ref="A33:A34"/>
    <mergeCell ref="A49:A50"/>
    <mergeCell ref="A41:A42"/>
    <mergeCell ref="A43:A44"/>
    <mergeCell ref="B31:B32"/>
    <mergeCell ref="A57:A58"/>
    <mergeCell ref="A59:A60"/>
    <mergeCell ref="D52:D53"/>
    <mergeCell ref="D54:D55"/>
    <mergeCell ref="D57:D58"/>
    <mergeCell ref="B59:B60"/>
    <mergeCell ref="B57:B58"/>
    <mergeCell ref="A54:A55"/>
    <mergeCell ref="B54:B55"/>
    <mergeCell ref="B52:B53"/>
    <mergeCell ref="D59:D60"/>
    <mergeCell ref="C57:C58"/>
    <mergeCell ref="C59:C60"/>
    <mergeCell ref="A52:A53"/>
    <mergeCell ref="D45:D46"/>
    <mergeCell ref="D43:D44"/>
    <mergeCell ref="D39:D40"/>
    <mergeCell ref="D33:D34"/>
    <mergeCell ref="D49:D50"/>
    <mergeCell ref="D41:D42"/>
    <mergeCell ref="C45:C46"/>
    <mergeCell ref="C43:C44"/>
    <mergeCell ref="C49:C50"/>
    <mergeCell ref="C47:C48"/>
    <mergeCell ref="A16:A17"/>
    <mergeCell ref="D16:D17"/>
    <mergeCell ref="D27:D28"/>
    <mergeCell ref="D29:D30"/>
    <mergeCell ref="C29:C30"/>
    <mergeCell ref="A25:A26"/>
    <mergeCell ref="A29:A30"/>
    <mergeCell ref="D12:D13"/>
    <mergeCell ref="A23:A24"/>
    <mergeCell ref="B19:B20"/>
    <mergeCell ref="C21:C22"/>
    <mergeCell ref="B21:B22"/>
    <mergeCell ref="B23:B24"/>
    <mergeCell ref="D14:D15"/>
    <mergeCell ref="D19:D20"/>
    <mergeCell ref="D23:D24"/>
    <mergeCell ref="D21:D22"/>
    <mergeCell ref="A14:A15"/>
    <mergeCell ref="A21:A22"/>
    <mergeCell ref="A19:A20"/>
    <mergeCell ref="C23:C24"/>
    <mergeCell ref="C19:C20"/>
    <mergeCell ref="B16:B17"/>
    <mergeCell ref="B14:B15"/>
    <mergeCell ref="F59:F60"/>
    <mergeCell ref="E54:E55"/>
    <mergeCell ref="F29:F30"/>
    <mergeCell ref="F11:R11"/>
    <mergeCell ref="E14:E15"/>
    <mergeCell ref="E59:E60"/>
    <mergeCell ref="E39:E40"/>
    <mergeCell ref="E57:E58"/>
    <mergeCell ref="E47:E48"/>
    <mergeCell ref="F41:F42"/>
    <mergeCell ref="F43:F44"/>
    <mergeCell ref="F47:F48"/>
    <mergeCell ref="F52:F53"/>
    <mergeCell ref="F49:F50"/>
    <mergeCell ref="F54:F55"/>
    <mergeCell ref="E41:E42"/>
    <mergeCell ref="E52:E53"/>
    <mergeCell ref="E49:E50"/>
    <mergeCell ref="E16:E17"/>
    <mergeCell ref="E21:E22"/>
    <mergeCell ref="E19:E20"/>
    <mergeCell ref="E31:E32"/>
    <mergeCell ref="F27:F28"/>
    <mergeCell ref="F39:F40"/>
    <mergeCell ref="F57:F58"/>
    <mergeCell ref="F45:F46"/>
    <mergeCell ref="A9:D9"/>
    <mergeCell ref="F9:F10"/>
    <mergeCell ref="E9:E10"/>
    <mergeCell ref="F21:F22"/>
    <mergeCell ref="F12:F13"/>
    <mergeCell ref="E12:E13"/>
    <mergeCell ref="A12:A13"/>
    <mergeCell ref="E45:E46"/>
    <mergeCell ref="C16:C17"/>
    <mergeCell ref="D25:D26"/>
    <mergeCell ref="C33:C34"/>
    <mergeCell ref="C25:C26"/>
    <mergeCell ref="C31:C32"/>
    <mergeCell ref="C35:C37"/>
    <mergeCell ref="E35:E37"/>
    <mergeCell ref="E27:E28"/>
    <mergeCell ref="E25:E26"/>
    <mergeCell ref="E33:E34"/>
    <mergeCell ref="F33:F34"/>
    <mergeCell ref="E29:E30"/>
    <mergeCell ref="E23:E24"/>
    <mergeCell ref="C27:C28"/>
    <mergeCell ref="B12:B13"/>
    <mergeCell ref="C14:C15"/>
    <mergeCell ref="C12:C13"/>
    <mergeCell ref="F56:S56"/>
    <mergeCell ref="F51:S51"/>
    <mergeCell ref="F38:S38"/>
    <mergeCell ref="F14:F15"/>
    <mergeCell ref="F16:F17"/>
    <mergeCell ref="F19:F20"/>
    <mergeCell ref="F25:F26"/>
    <mergeCell ref="E43:E44"/>
    <mergeCell ref="C18:S18"/>
    <mergeCell ref="F23:F24"/>
    <mergeCell ref="B25:B26"/>
    <mergeCell ref="B29:B30"/>
    <mergeCell ref="F31:F32"/>
    <mergeCell ref="F35:F37"/>
    <mergeCell ref="C39:C40"/>
    <mergeCell ref="C52:C53"/>
    <mergeCell ref="C54:C55"/>
    <mergeCell ref="C41:C42"/>
    <mergeCell ref="D31:D32"/>
    <mergeCell ref="D35:D37"/>
    <mergeCell ref="D47:D48"/>
    <mergeCell ref="G9:G10"/>
    <mergeCell ref="U9:U10"/>
    <mergeCell ref="T9:T10"/>
    <mergeCell ref="O3:R3"/>
    <mergeCell ref="O9:O10"/>
    <mergeCell ref="P9:P10"/>
    <mergeCell ref="Q9:Q10"/>
    <mergeCell ref="R9:R10"/>
    <mergeCell ref="V9:V10"/>
    <mergeCell ref="N9:N10"/>
    <mergeCell ref="M9:M10"/>
    <mergeCell ref="L9:L10"/>
    <mergeCell ref="S9:S10"/>
    <mergeCell ref="A7:M7"/>
    <mergeCell ref="K9:K10"/>
    <mergeCell ref="J9:J10"/>
    <mergeCell ref="I9:I10"/>
    <mergeCell ref="H9:H10"/>
  </mergeCells>
  <phoneticPr fontId="33" type="noConversion"/>
  <pageMargins left="0.590551137924194" right="0.39370077848434398" top="0.39370077848434398" bottom="0.39370077848434398" header="0" footer="0"/>
  <pageSetup paperSize="9" scale="75" fitToHeight="0" orientation="landscape" r:id="rId1"/>
  <headerFooter>
    <oddFooter>&amp;C&amp;11&amp;"Calibri,Regular"&amp;P&amp;12&amp;"-,Regular"</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AF342"/>
  <sheetViews>
    <sheetView view="pageBreakPreview" topLeftCell="A7" zoomScale="60" zoomScaleNormal="100" workbookViewId="0">
      <pane xSplit="7" ySplit="3" topLeftCell="H327" activePane="bottomRight" state="frozen"/>
      <selection pane="topRight" activeCell="A7" sqref="A7"/>
      <selection pane="bottomLeft" activeCell="A7" sqref="A7"/>
      <selection pane="bottomRight" activeCell="AN344" sqref="AN344"/>
    </sheetView>
  </sheetViews>
  <sheetFormatPr defaultColWidth="9.140625" defaultRowHeight="15"/>
  <cols>
    <col min="1" max="1" width="3.5703125" style="98" bestFit="1" customWidth="1"/>
    <col min="2" max="2" width="3" style="98" bestFit="1" customWidth="1"/>
    <col min="3" max="3" width="3.5703125" style="98" bestFit="1" customWidth="1"/>
    <col min="4" max="4" width="2.42578125" style="98" bestFit="1" customWidth="1"/>
    <col min="5" max="5" width="2.140625" style="98" bestFit="1" customWidth="1"/>
    <col min="6" max="6" width="45.42578125" style="99" customWidth="1"/>
    <col min="7" max="7" width="17" style="99" customWidth="1"/>
    <col min="8" max="8" width="4.85546875" style="99" bestFit="1" customWidth="1"/>
    <col min="9" max="10" width="7" style="99" customWidth="1"/>
    <col min="11" max="11" width="10.140625" style="99" customWidth="1"/>
    <col min="12" max="12" width="4.85546875" style="98" customWidth="1"/>
    <col min="13" max="13" width="8.140625" style="99" hidden="1" customWidth="1"/>
    <col min="14" max="14" width="8.5703125" style="100" hidden="1" customWidth="1"/>
    <col min="15" max="16" width="8.140625" style="100" hidden="1" customWidth="1"/>
    <col min="17" max="17" width="6.28515625" style="100" hidden="1" customWidth="1"/>
    <col min="18" max="18" width="10" style="100" bestFit="1" customWidth="1"/>
    <col min="19" max="20" width="10" style="99" bestFit="1" customWidth="1"/>
    <col min="21" max="21" width="9" style="99" bestFit="1" customWidth="1"/>
    <col min="22" max="26" width="9.5703125" style="99" customWidth="1"/>
    <col min="27" max="27" width="9.85546875" style="101" customWidth="1"/>
  </cols>
  <sheetData>
    <row r="1" spans="1:32">
      <c r="N1" s="99"/>
      <c r="O1" s="99"/>
      <c r="P1" s="99"/>
      <c r="Q1" s="102" t="s">
        <v>96</v>
      </c>
      <c r="R1" s="99"/>
    </row>
    <row r="2" spans="1:32">
      <c r="N2" s="99"/>
      <c r="O2" s="99"/>
      <c r="P2" s="99"/>
      <c r="Q2" s="102" t="s">
        <v>707</v>
      </c>
      <c r="R2" s="99"/>
    </row>
    <row r="3" spans="1:32">
      <c r="N3" s="99"/>
      <c r="O3" s="99"/>
      <c r="P3" s="99"/>
      <c r="Q3" s="102" t="s">
        <v>97</v>
      </c>
      <c r="R3" s="99"/>
    </row>
    <row r="4" spans="1:32">
      <c r="N4" s="99"/>
      <c r="O4" s="99"/>
      <c r="P4" s="99"/>
      <c r="Q4" s="99" t="s">
        <v>709</v>
      </c>
      <c r="R4" s="99"/>
    </row>
    <row r="5" spans="1:32">
      <c r="N5" s="99"/>
      <c r="O5" s="99"/>
      <c r="P5" s="99"/>
      <c r="Q5" s="99"/>
      <c r="R5" s="99"/>
    </row>
    <row r="6" spans="1:32" ht="14.1" customHeight="1">
      <c r="A6" s="103"/>
      <c r="B6" s="103"/>
      <c r="C6" s="103"/>
      <c r="D6" s="545" t="s">
        <v>98</v>
      </c>
      <c r="E6" s="545"/>
      <c r="F6" s="545"/>
      <c r="G6" s="545"/>
      <c r="H6" s="545"/>
      <c r="I6" s="545"/>
      <c r="J6" s="545"/>
      <c r="K6" s="545"/>
      <c r="L6" s="545"/>
      <c r="M6" s="545"/>
      <c r="N6" s="545"/>
      <c r="O6" s="545"/>
      <c r="P6" s="545"/>
      <c r="Q6" s="545"/>
      <c r="R6" s="99"/>
    </row>
    <row r="7" spans="1:32" ht="14.1" customHeight="1">
      <c r="A7" s="103"/>
      <c r="B7" s="103"/>
      <c r="C7" s="103"/>
      <c r="D7" s="104"/>
      <c r="E7" s="104"/>
      <c r="F7" s="104"/>
      <c r="G7" s="104"/>
      <c r="H7" s="104"/>
      <c r="I7" s="104"/>
      <c r="J7" s="104"/>
      <c r="K7" s="104"/>
      <c r="L7" s="104"/>
      <c r="M7" s="104"/>
      <c r="N7" s="104"/>
      <c r="O7" s="104"/>
      <c r="P7" s="104"/>
      <c r="Q7" s="104"/>
      <c r="R7" s="303"/>
      <c r="S7" s="303"/>
      <c r="T7" s="303"/>
      <c r="U7" s="304"/>
      <c r="V7" s="303"/>
      <c r="W7" s="303"/>
      <c r="X7" s="303"/>
      <c r="Y7" s="303"/>
      <c r="Z7" s="303"/>
      <c r="AA7" s="99">
        <v>541127.9</v>
      </c>
      <c r="AB7" s="99">
        <v>468515.9</v>
      </c>
      <c r="AC7" s="99">
        <v>470401.7</v>
      </c>
      <c r="AD7" s="99">
        <v>470677.5</v>
      </c>
    </row>
    <row r="8" spans="1:32" s="99" customFormat="1" ht="38.25" customHeight="1">
      <c r="A8" s="510" t="s">
        <v>711</v>
      </c>
      <c r="B8" s="543"/>
      <c r="C8" s="543"/>
      <c r="D8" s="543"/>
      <c r="E8" s="544"/>
      <c r="F8" s="510" t="s">
        <v>99</v>
      </c>
      <c r="G8" s="510" t="s">
        <v>837</v>
      </c>
      <c r="H8" s="510" t="s">
        <v>100</v>
      </c>
      <c r="I8" s="543"/>
      <c r="J8" s="543"/>
      <c r="K8" s="543"/>
      <c r="L8" s="544"/>
      <c r="M8" s="510" t="s">
        <v>101</v>
      </c>
      <c r="N8" s="543"/>
      <c r="O8" s="543"/>
      <c r="P8" s="543"/>
      <c r="Q8" s="543"/>
      <c r="R8" s="543"/>
      <c r="S8" s="543"/>
      <c r="T8" s="543"/>
      <c r="U8" s="543"/>
      <c r="V8" s="543"/>
      <c r="W8" s="543"/>
      <c r="X8" s="543"/>
      <c r="Y8" s="543"/>
      <c r="Z8" s="544"/>
      <c r="AA8" s="106"/>
      <c r="AB8" s="107"/>
      <c r="AC8" s="107"/>
      <c r="AD8" s="107"/>
    </row>
    <row r="9" spans="1:32" s="99" customFormat="1" ht="20.25" customHeight="1">
      <c r="A9" s="281" t="s">
        <v>732</v>
      </c>
      <c r="B9" s="281" t="s">
        <v>733</v>
      </c>
      <c r="C9" s="281" t="s">
        <v>841</v>
      </c>
      <c r="D9" s="281" t="s">
        <v>842</v>
      </c>
      <c r="E9" s="281" t="s">
        <v>102</v>
      </c>
      <c r="F9" s="511"/>
      <c r="G9" s="511"/>
      <c r="H9" s="281" t="s">
        <v>57</v>
      </c>
      <c r="I9" s="281" t="s">
        <v>103</v>
      </c>
      <c r="J9" s="281" t="s">
        <v>104</v>
      </c>
      <c r="K9" s="281" t="s">
        <v>105</v>
      </c>
      <c r="L9" s="281" t="s">
        <v>106</v>
      </c>
      <c r="M9" s="281" t="s">
        <v>720</v>
      </c>
      <c r="N9" s="281" t="s">
        <v>721</v>
      </c>
      <c r="O9" s="281" t="s">
        <v>722</v>
      </c>
      <c r="P9" s="281" t="s">
        <v>723</v>
      </c>
      <c r="Q9" s="281" t="s">
        <v>724</v>
      </c>
      <c r="R9" s="281" t="s">
        <v>61</v>
      </c>
      <c r="S9" s="281" t="s">
        <v>62</v>
      </c>
      <c r="T9" s="281" t="s">
        <v>725</v>
      </c>
      <c r="U9" s="281" t="s">
        <v>726</v>
      </c>
      <c r="V9" s="281" t="s">
        <v>727</v>
      </c>
      <c r="W9" s="281" t="s">
        <v>728</v>
      </c>
      <c r="X9" s="281" t="s">
        <v>729</v>
      </c>
      <c r="Y9" s="281" t="s">
        <v>730</v>
      </c>
      <c r="Z9" s="281" t="s">
        <v>731</v>
      </c>
      <c r="AA9" s="106"/>
      <c r="AB9" s="107"/>
      <c r="AC9" s="107"/>
      <c r="AD9" s="108">
        <f>AD11-T11</f>
        <v>-179042.8</v>
      </c>
      <c r="AE9" s="105">
        <f>AE11-U11</f>
        <v>-274278.70000000007</v>
      </c>
      <c r="AF9" s="105">
        <f>AF11-V11</f>
        <v>-173282.76299999992</v>
      </c>
    </row>
    <row r="10" spans="1:32" s="99" customFormat="1" ht="13.5" customHeight="1">
      <c r="A10" s="281"/>
      <c r="B10" s="281"/>
      <c r="C10" s="281"/>
      <c r="D10" s="281"/>
      <c r="E10" s="281"/>
      <c r="F10" s="305" t="s">
        <v>107</v>
      </c>
      <c r="G10" s="281"/>
      <c r="H10" s="281"/>
      <c r="I10" s="281"/>
      <c r="J10" s="281"/>
      <c r="K10" s="281"/>
      <c r="L10" s="281"/>
      <c r="M10" s="281"/>
      <c r="N10" s="281"/>
      <c r="O10" s="306"/>
      <c r="P10" s="306"/>
      <c r="Q10" s="306"/>
      <c r="R10" s="306"/>
      <c r="S10" s="307"/>
      <c r="T10" s="306">
        <v>541128</v>
      </c>
      <c r="U10" s="306">
        <v>642949.69999999995</v>
      </c>
      <c r="V10" s="306">
        <v>470401.8</v>
      </c>
      <c r="W10" s="306">
        <v>470677.6</v>
      </c>
      <c r="X10" s="306">
        <v>476232</v>
      </c>
      <c r="Y10" s="306">
        <v>501159.5</v>
      </c>
      <c r="Z10" s="306"/>
      <c r="AA10" s="109">
        <f>W11/V11</f>
        <v>0.94258972747663672</v>
      </c>
      <c r="AB10" s="110"/>
      <c r="AC10" s="110"/>
      <c r="AD10" s="110"/>
    </row>
    <row r="11" spans="1:32" s="111" customFormat="1" ht="11.25">
      <c r="A11" s="308" t="s">
        <v>736</v>
      </c>
      <c r="B11" s="308"/>
      <c r="C11" s="308"/>
      <c r="D11" s="308"/>
      <c r="E11" s="308"/>
      <c r="F11" s="549" t="s">
        <v>108</v>
      </c>
      <c r="G11" s="309" t="s">
        <v>109</v>
      </c>
      <c r="H11" s="310"/>
      <c r="I11" s="310"/>
      <c r="J11" s="310"/>
      <c r="K11" s="310"/>
      <c r="L11" s="311"/>
      <c r="M11" s="312">
        <f t="shared" ref="M11:S11" si="0">M12+M14+M16+M17+M342</f>
        <v>355471.7</v>
      </c>
      <c r="N11" s="312">
        <f t="shared" si="0"/>
        <v>383841.10000000003</v>
      </c>
      <c r="O11" s="312">
        <f t="shared" si="0"/>
        <v>389761.1</v>
      </c>
      <c r="P11" s="312">
        <f t="shared" si="0"/>
        <v>466310.90000000008</v>
      </c>
      <c r="Q11" s="312">
        <f t="shared" si="0"/>
        <v>823656.39999999991</v>
      </c>
      <c r="R11" s="312">
        <f t="shared" si="0"/>
        <v>606817.81831999996</v>
      </c>
      <c r="S11" s="312">
        <f t="shared" si="0"/>
        <v>596367.87599999993</v>
      </c>
      <c r="T11" s="312">
        <f t="shared" ref="T11:Z11" si="1">T13+T15+T16+T18+T342+T19</f>
        <v>541128</v>
      </c>
      <c r="U11" s="312">
        <f t="shared" si="1"/>
        <v>645394.60000000009</v>
      </c>
      <c r="V11" s="312">
        <f t="shared" si="1"/>
        <v>554800.76299999992</v>
      </c>
      <c r="W11" s="312">
        <f t="shared" si="1"/>
        <v>522949.50000000006</v>
      </c>
      <c r="X11" s="312">
        <f t="shared" si="1"/>
        <v>520995.4</v>
      </c>
      <c r="Y11" s="312">
        <f t="shared" si="1"/>
        <v>548617.89879999997</v>
      </c>
      <c r="Z11" s="312">
        <f t="shared" si="1"/>
        <v>576736.68303639989</v>
      </c>
      <c r="AA11" s="112"/>
      <c r="AB11" s="111">
        <v>596367.80000000005</v>
      </c>
      <c r="AC11" s="113">
        <f>AB11-S11</f>
        <v>-7.5999999884516001E-2</v>
      </c>
      <c r="AD11" s="111">
        <v>362085.2</v>
      </c>
      <c r="AE11" s="111">
        <v>371115.9</v>
      </c>
      <c r="AF11" s="111">
        <v>381518</v>
      </c>
    </row>
    <row r="12" spans="1:32" s="111" customFormat="1" ht="22.5">
      <c r="A12" s="313"/>
      <c r="B12" s="313"/>
      <c r="C12" s="313"/>
      <c r="D12" s="313"/>
      <c r="E12" s="313"/>
      <c r="F12" s="550"/>
      <c r="G12" s="314" t="s">
        <v>110</v>
      </c>
      <c r="H12" s="310" t="s">
        <v>63</v>
      </c>
      <c r="I12" s="310"/>
      <c r="J12" s="310"/>
      <c r="K12" s="310"/>
      <c r="L12" s="311"/>
      <c r="M12" s="312">
        <f>M21+M61+M172+M237+M260+M212</f>
        <v>348981.8</v>
      </c>
      <c r="N12" s="312">
        <f>N21+N61+N172+N237+N260+N212</f>
        <v>377030.30000000005</v>
      </c>
      <c r="O12" s="312">
        <f>O21+O61+O172+O237+O260+O212-O316</f>
        <v>382066.8</v>
      </c>
      <c r="P12" s="312">
        <f>P21+P61+P172+P237+P260+P212</f>
        <v>458138.40000000008</v>
      </c>
      <c r="Q12" s="312">
        <f>Q21+Q61+Q172+Q237+Q260+Q212</f>
        <v>610527.82199999993</v>
      </c>
      <c r="R12" s="312">
        <f>R21+R61+R172+R237+R260-7.8</f>
        <v>438587.45231999998</v>
      </c>
      <c r="S12" s="312">
        <f>S21+S61+S172+S235+S260</f>
        <v>541033.47600000002</v>
      </c>
      <c r="T12" s="315"/>
      <c r="U12" s="315"/>
      <c r="V12" s="315"/>
      <c r="W12" s="315"/>
      <c r="X12" s="315"/>
      <c r="Y12" s="315"/>
      <c r="Z12" s="315"/>
      <c r="AA12" s="112">
        <v>438587.5</v>
      </c>
      <c r="AB12" s="113">
        <v>463333.3</v>
      </c>
      <c r="AC12" s="113">
        <f>AB12-S12</f>
        <v>-77700.176000000036</v>
      </c>
      <c r="AD12" s="113">
        <f>AB20+AB57+AB194+AB222+AC245+U305+AC158</f>
        <v>257573.30000000002</v>
      </c>
      <c r="AE12" s="113">
        <f>AD12-U11</f>
        <v>-387821.30000000005</v>
      </c>
    </row>
    <row r="13" spans="1:32" s="111" customFormat="1" ht="22.5">
      <c r="A13" s="313"/>
      <c r="B13" s="313"/>
      <c r="C13" s="313"/>
      <c r="D13" s="313"/>
      <c r="E13" s="313"/>
      <c r="F13" s="550"/>
      <c r="G13" s="314" t="s">
        <v>844</v>
      </c>
      <c r="H13" s="310" t="s">
        <v>67</v>
      </c>
      <c r="I13" s="310"/>
      <c r="J13" s="310"/>
      <c r="K13" s="310"/>
      <c r="L13" s="311"/>
      <c r="M13" s="312"/>
      <c r="N13" s="312"/>
      <c r="O13" s="312"/>
      <c r="P13" s="312"/>
      <c r="Q13" s="312"/>
      <c r="R13" s="312"/>
      <c r="S13" s="312"/>
      <c r="T13" s="312">
        <f>T22+T62+T173+T238+T261+T319</f>
        <v>502465.00000000006</v>
      </c>
      <c r="U13" s="312">
        <f>U22+U62+U173+U238+U261+U319+U214</f>
        <v>565599.70000000007</v>
      </c>
      <c r="V13" s="312">
        <f>V22+V62+V173+V238+V261+V319+V214</f>
        <v>545238.76299999992</v>
      </c>
      <c r="W13" s="312">
        <f>W22+W62+W173+W238+W261+W319</f>
        <v>522949.50000000006</v>
      </c>
      <c r="X13" s="312">
        <f>X22+X62+X173+X238+X261+X319</f>
        <v>520995.4</v>
      </c>
      <c r="Y13" s="312">
        <f>Y22+Y62+Y173+Y238+Y261+Y319</f>
        <v>548617.89879999997</v>
      </c>
      <c r="Z13" s="312">
        <f>Z22+Z62+Z173+Z238+Z261+Z319</f>
        <v>576736.68303639989</v>
      </c>
      <c r="AA13" s="112">
        <v>502465</v>
      </c>
      <c r="AB13" s="113">
        <f>AA13-T13</f>
        <v>0</v>
      </c>
      <c r="AC13" s="113">
        <f>AB13+AB15</f>
        <v>-0.1000000000003638</v>
      </c>
    </row>
    <row r="14" spans="1:32" s="111" customFormat="1" ht="11.25">
      <c r="A14" s="313"/>
      <c r="B14" s="313"/>
      <c r="C14" s="313"/>
      <c r="D14" s="313"/>
      <c r="E14" s="313"/>
      <c r="F14" s="550"/>
      <c r="G14" s="314" t="s">
        <v>566</v>
      </c>
      <c r="H14" s="310" t="s">
        <v>80</v>
      </c>
      <c r="I14" s="310"/>
      <c r="J14" s="310"/>
      <c r="K14" s="310"/>
      <c r="L14" s="311"/>
      <c r="M14" s="312">
        <f>M174</f>
        <v>5253.2</v>
      </c>
      <c r="N14" s="312">
        <f>N174</f>
        <v>5575</v>
      </c>
      <c r="O14" s="312">
        <f>O174+O316+O290</f>
        <v>6429.8</v>
      </c>
      <c r="P14" s="312">
        <f>P174+P316+P290+P308</f>
        <v>7066.6</v>
      </c>
      <c r="Q14" s="312">
        <f>Q174+Q316+Q290+Q308</f>
        <v>7213.8689999999997</v>
      </c>
      <c r="R14" s="312">
        <f>R174+R316+R290+R308</f>
        <v>6808.4660000000003</v>
      </c>
      <c r="S14" s="312">
        <f>S174+S262</f>
        <v>6108.2000000000007</v>
      </c>
      <c r="T14" s="315"/>
      <c r="U14" s="315"/>
      <c r="V14" s="315"/>
      <c r="W14" s="315"/>
      <c r="X14" s="315"/>
      <c r="Y14" s="315"/>
      <c r="Z14" s="315"/>
      <c r="AA14" s="112">
        <v>6808.5</v>
      </c>
      <c r="AB14" s="113">
        <v>6108.2</v>
      </c>
      <c r="AC14" s="113">
        <f>AB14-S14</f>
        <v>0</v>
      </c>
    </row>
    <row r="15" spans="1:32" s="111" customFormat="1" ht="33.75">
      <c r="A15" s="313"/>
      <c r="B15" s="313"/>
      <c r="C15" s="313"/>
      <c r="D15" s="313"/>
      <c r="E15" s="313"/>
      <c r="F15" s="550"/>
      <c r="G15" s="314" t="s">
        <v>111</v>
      </c>
      <c r="H15" s="310" t="s">
        <v>84</v>
      </c>
      <c r="I15" s="310"/>
      <c r="J15" s="310"/>
      <c r="K15" s="310"/>
      <c r="L15" s="311"/>
      <c r="M15" s="312"/>
      <c r="N15" s="312"/>
      <c r="O15" s="312"/>
      <c r="P15" s="312"/>
      <c r="Q15" s="312"/>
      <c r="R15" s="312"/>
      <c r="S15" s="312"/>
      <c r="T15" s="312">
        <f t="shared" ref="T15:Z15" si="2">T175+T211+T239+T263</f>
        <v>8301.6</v>
      </c>
      <c r="U15" s="312">
        <f t="shared" si="2"/>
        <v>8379</v>
      </c>
      <c r="V15" s="312">
        <f t="shared" si="2"/>
        <v>9562</v>
      </c>
      <c r="W15" s="312">
        <f t="shared" si="2"/>
        <v>0</v>
      </c>
      <c r="X15" s="312">
        <f t="shared" si="2"/>
        <v>0</v>
      </c>
      <c r="Y15" s="312">
        <f t="shared" si="2"/>
        <v>0</v>
      </c>
      <c r="Z15" s="312">
        <f t="shared" si="2"/>
        <v>0</v>
      </c>
      <c r="AA15" s="112">
        <v>8301.5</v>
      </c>
      <c r="AB15" s="113">
        <f>AA15-T15</f>
        <v>-0.1000000000003638</v>
      </c>
    </row>
    <row r="16" spans="1:32" s="111" customFormat="1" ht="22.5">
      <c r="A16" s="313"/>
      <c r="B16" s="313"/>
      <c r="C16" s="313"/>
      <c r="D16" s="313"/>
      <c r="E16" s="313"/>
      <c r="F16" s="550"/>
      <c r="G16" s="314" t="s">
        <v>112</v>
      </c>
      <c r="H16" s="310" t="s">
        <v>86</v>
      </c>
      <c r="I16" s="310"/>
      <c r="J16" s="310"/>
      <c r="K16" s="310"/>
      <c r="L16" s="311"/>
      <c r="M16" s="312">
        <f>M209</f>
        <v>108.7</v>
      </c>
      <c r="N16" s="312">
        <f>N209</f>
        <v>90</v>
      </c>
      <c r="O16" s="312">
        <f>O209</f>
        <v>50</v>
      </c>
      <c r="P16" s="312">
        <f>P209</f>
        <v>24</v>
      </c>
      <c r="Q16" s="312">
        <f>Q209</f>
        <v>60</v>
      </c>
      <c r="R16" s="312">
        <f>R209+R210</f>
        <v>1038.3</v>
      </c>
      <c r="S16" s="312">
        <f t="shared" ref="S16:Z16" si="3">S209</f>
        <v>52.1</v>
      </c>
      <c r="T16" s="312">
        <f t="shared" si="3"/>
        <v>0</v>
      </c>
      <c r="U16" s="312">
        <f t="shared" si="3"/>
        <v>0</v>
      </c>
      <c r="V16" s="312">
        <f t="shared" si="3"/>
        <v>0</v>
      </c>
      <c r="W16" s="312">
        <f t="shared" si="3"/>
        <v>0</v>
      </c>
      <c r="X16" s="312">
        <f t="shared" si="3"/>
        <v>0</v>
      </c>
      <c r="Y16" s="312">
        <f t="shared" si="3"/>
        <v>0</v>
      </c>
      <c r="Z16" s="312">
        <f t="shared" si="3"/>
        <v>0</v>
      </c>
      <c r="AA16" s="112"/>
    </row>
    <row r="17" spans="1:29" s="111" customFormat="1" ht="78.75">
      <c r="A17" s="313"/>
      <c r="B17" s="313"/>
      <c r="C17" s="313"/>
      <c r="D17" s="313"/>
      <c r="E17" s="313"/>
      <c r="F17" s="550"/>
      <c r="G17" s="314" t="s">
        <v>113</v>
      </c>
      <c r="H17" s="310" t="s">
        <v>86</v>
      </c>
      <c r="I17" s="310"/>
      <c r="J17" s="310"/>
      <c r="K17" s="310"/>
      <c r="L17" s="311"/>
      <c r="M17" s="312">
        <f>M210</f>
        <v>1128</v>
      </c>
      <c r="N17" s="312">
        <f>N210</f>
        <v>1145.8</v>
      </c>
      <c r="O17" s="312">
        <f>O210</f>
        <v>1214.5</v>
      </c>
      <c r="P17" s="312">
        <f>P210</f>
        <v>1081.9000000000001</v>
      </c>
      <c r="Q17" s="312">
        <f>Q210+Q23+Q63</f>
        <v>205854.70900000003</v>
      </c>
      <c r="R17" s="312">
        <f>R33+R156+R35+R159+R157+R40+R158+R220</f>
        <v>160383.6</v>
      </c>
      <c r="S17" s="312">
        <f>S63+S212+S23</f>
        <v>49174.100000000006</v>
      </c>
      <c r="T17" s="315"/>
      <c r="U17" s="315"/>
      <c r="V17" s="315"/>
      <c r="W17" s="315"/>
      <c r="X17" s="315"/>
      <c r="Y17" s="315"/>
      <c r="Z17" s="315"/>
      <c r="AA17" s="112">
        <v>161421.9</v>
      </c>
      <c r="AB17" s="113">
        <v>44883.3</v>
      </c>
      <c r="AC17" s="113">
        <f>AB17-S17-S16</f>
        <v>-4342.9000000000033</v>
      </c>
    </row>
    <row r="18" spans="1:29" s="111" customFormat="1" ht="78.75">
      <c r="A18" s="313"/>
      <c r="B18" s="313"/>
      <c r="C18" s="313"/>
      <c r="D18" s="313"/>
      <c r="E18" s="313"/>
      <c r="F18" s="550"/>
      <c r="G18" s="314" t="s">
        <v>113</v>
      </c>
      <c r="H18" s="310" t="s">
        <v>114</v>
      </c>
      <c r="I18" s="310"/>
      <c r="J18" s="310"/>
      <c r="K18" s="310"/>
      <c r="L18" s="311"/>
      <c r="M18" s="312"/>
      <c r="N18" s="312"/>
      <c r="O18" s="312"/>
      <c r="P18" s="312"/>
      <c r="Q18" s="312"/>
      <c r="R18" s="312"/>
      <c r="S18" s="312"/>
      <c r="T18" s="312">
        <f t="shared" ref="T18:Z18" si="4">T24+T63</f>
        <v>29773.699999999997</v>
      </c>
      <c r="U18" s="312">
        <f t="shared" si="4"/>
        <v>71415.900000000009</v>
      </c>
      <c r="V18" s="312">
        <f t="shared" si="4"/>
        <v>0</v>
      </c>
      <c r="W18" s="312">
        <f t="shared" si="4"/>
        <v>0</v>
      </c>
      <c r="X18" s="312">
        <f t="shared" si="4"/>
        <v>0</v>
      </c>
      <c r="Y18" s="312">
        <f t="shared" si="4"/>
        <v>0</v>
      </c>
      <c r="Z18" s="312">
        <f t="shared" si="4"/>
        <v>0</v>
      </c>
      <c r="AA18" s="112"/>
      <c r="AB18" s="113"/>
    </row>
    <row r="19" spans="1:29" s="111" customFormat="1" ht="67.5">
      <c r="A19" s="316"/>
      <c r="B19" s="316"/>
      <c r="C19" s="316"/>
      <c r="D19" s="316"/>
      <c r="E19" s="316"/>
      <c r="F19" s="551"/>
      <c r="G19" s="314" t="s">
        <v>115</v>
      </c>
      <c r="H19" s="310" t="s">
        <v>116</v>
      </c>
      <c r="I19" s="310"/>
      <c r="J19" s="310"/>
      <c r="K19" s="310"/>
      <c r="L19" s="311"/>
      <c r="M19" s="312"/>
      <c r="N19" s="312"/>
      <c r="O19" s="312"/>
      <c r="P19" s="312"/>
      <c r="Q19" s="312"/>
      <c r="R19" s="312"/>
      <c r="S19" s="312"/>
      <c r="T19" s="312">
        <f t="shared" ref="T19:Z19" si="5">T176</f>
        <v>587.70000000000005</v>
      </c>
      <c r="U19" s="312">
        <f t="shared" si="5"/>
        <v>0</v>
      </c>
      <c r="V19" s="312">
        <f t="shared" si="5"/>
        <v>0</v>
      </c>
      <c r="W19" s="312">
        <f t="shared" si="5"/>
        <v>0</v>
      </c>
      <c r="X19" s="312">
        <f t="shared" si="5"/>
        <v>0</v>
      </c>
      <c r="Y19" s="312">
        <f t="shared" si="5"/>
        <v>0</v>
      </c>
      <c r="Z19" s="312">
        <f t="shared" si="5"/>
        <v>0</v>
      </c>
      <c r="AA19" s="112"/>
      <c r="AB19" s="113"/>
    </row>
    <row r="20" spans="1:29" s="111" customFormat="1" ht="11.25">
      <c r="A20" s="546" t="s">
        <v>736</v>
      </c>
      <c r="B20" s="546" t="s">
        <v>737</v>
      </c>
      <c r="C20" s="546"/>
      <c r="D20" s="546"/>
      <c r="E20" s="546"/>
      <c r="F20" s="549" t="s">
        <v>738</v>
      </c>
      <c r="G20" s="309" t="s">
        <v>109</v>
      </c>
      <c r="H20" s="310"/>
      <c r="I20" s="310"/>
      <c r="J20" s="310"/>
      <c r="K20" s="310"/>
      <c r="L20" s="311"/>
      <c r="M20" s="312">
        <f>M21</f>
        <v>82980.100000000006</v>
      </c>
      <c r="N20" s="312">
        <f>N21</f>
        <v>79275.100000000006</v>
      </c>
      <c r="O20" s="312">
        <f>O21</f>
        <v>79165.599999999991</v>
      </c>
      <c r="P20" s="312">
        <f>P21</f>
        <v>87905.7</v>
      </c>
      <c r="Q20" s="312">
        <f>Q21+Q23</f>
        <v>189215.51799999998</v>
      </c>
      <c r="R20" s="312">
        <f>R21+R23</f>
        <v>100818.86992000003</v>
      </c>
      <c r="S20" s="312">
        <f>S21+S23</f>
        <v>177043.8</v>
      </c>
      <c r="T20" s="312">
        <f t="shared" ref="T20:Z20" si="6">T22+T24</f>
        <v>135645.1</v>
      </c>
      <c r="U20" s="312">
        <f t="shared" si="6"/>
        <v>159809.90000000002</v>
      </c>
      <c r="V20" s="312">
        <f t="shared" si="6"/>
        <v>132709.4</v>
      </c>
      <c r="W20" s="312">
        <f t="shared" si="6"/>
        <v>115537.2</v>
      </c>
      <c r="X20" s="312">
        <f t="shared" si="6"/>
        <v>115720</v>
      </c>
      <c r="Y20" s="312">
        <f t="shared" si="6"/>
        <v>121853.15999999999</v>
      </c>
      <c r="Z20" s="312">
        <f t="shared" si="6"/>
        <v>128311.37747999998</v>
      </c>
      <c r="AA20" s="112"/>
      <c r="AB20" s="113">
        <f>U29+U31+U38+U45+U48+U52</f>
        <v>159350.90000000002</v>
      </c>
    </row>
    <row r="21" spans="1:29" s="111" customFormat="1" ht="22.5">
      <c r="A21" s="547"/>
      <c r="B21" s="547"/>
      <c r="C21" s="547"/>
      <c r="D21" s="547"/>
      <c r="E21" s="547"/>
      <c r="F21" s="550"/>
      <c r="G21" s="314" t="s">
        <v>844</v>
      </c>
      <c r="H21" s="317" t="s">
        <v>63</v>
      </c>
      <c r="I21" s="317"/>
      <c r="J21" s="317"/>
      <c r="K21" s="317"/>
      <c r="L21" s="318"/>
      <c r="M21" s="319">
        <f>M25</f>
        <v>82980.100000000006</v>
      </c>
      <c r="N21" s="319">
        <f>N25</f>
        <v>79275.100000000006</v>
      </c>
      <c r="O21" s="319">
        <f>O25</f>
        <v>79165.599999999991</v>
      </c>
      <c r="P21" s="319">
        <f>P25</f>
        <v>87905.7</v>
      </c>
      <c r="Q21" s="319">
        <f>Q25-Q23</f>
        <v>104853.03199999998</v>
      </c>
      <c r="R21" s="319">
        <f>R25-R23</f>
        <v>92425.269920000021</v>
      </c>
      <c r="S21" s="319">
        <f>S25-S23</f>
        <v>159687.59999999998</v>
      </c>
      <c r="T21" s="315"/>
      <c r="U21" s="315"/>
      <c r="V21" s="315"/>
      <c r="W21" s="315"/>
      <c r="X21" s="315"/>
      <c r="Y21" s="315"/>
      <c r="Z21" s="315"/>
      <c r="AA21" s="112"/>
    </row>
    <row r="22" spans="1:29" s="111" customFormat="1" ht="22.5">
      <c r="A22" s="547"/>
      <c r="B22" s="547"/>
      <c r="C22" s="547"/>
      <c r="D22" s="547"/>
      <c r="E22" s="547"/>
      <c r="F22" s="550"/>
      <c r="G22" s="314" t="s">
        <v>844</v>
      </c>
      <c r="H22" s="317" t="s">
        <v>67</v>
      </c>
      <c r="I22" s="317"/>
      <c r="J22" s="317"/>
      <c r="K22" s="317"/>
      <c r="L22" s="318"/>
      <c r="M22" s="319"/>
      <c r="N22" s="319"/>
      <c r="O22" s="319"/>
      <c r="P22" s="319"/>
      <c r="Q22" s="319"/>
      <c r="R22" s="319"/>
      <c r="S22" s="319"/>
      <c r="T22" s="319">
        <f t="shared" ref="T22:Z22" si="7">T27+T42+T57</f>
        <v>111863.8</v>
      </c>
      <c r="U22" s="319">
        <f t="shared" si="7"/>
        <v>123420.3</v>
      </c>
      <c r="V22" s="319">
        <f t="shared" si="7"/>
        <v>132709.4</v>
      </c>
      <c r="W22" s="319">
        <f t="shared" si="7"/>
        <v>115537.2</v>
      </c>
      <c r="X22" s="319">
        <f t="shared" si="7"/>
        <v>115720</v>
      </c>
      <c r="Y22" s="319">
        <f t="shared" si="7"/>
        <v>121853.15999999999</v>
      </c>
      <c r="Z22" s="319">
        <f t="shared" si="7"/>
        <v>128311.37747999998</v>
      </c>
      <c r="AA22" s="112">
        <v>11863.8</v>
      </c>
    </row>
    <row r="23" spans="1:29" s="111" customFormat="1" ht="78.75">
      <c r="A23" s="547"/>
      <c r="B23" s="547"/>
      <c r="C23" s="547"/>
      <c r="D23" s="547"/>
      <c r="E23" s="547"/>
      <c r="F23" s="550"/>
      <c r="G23" s="314" t="s">
        <v>113</v>
      </c>
      <c r="H23" s="317" t="s">
        <v>86</v>
      </c>
      <c r="I23" s="317"/>
      <c r="J23" s="317"/>
      <c r="K23" s="317"/>
      <c r="L23" s="318"/>
      <c r="M23" s="319"/>
      <c r="N23" s="319"/>
      <c r="O23" s="319"/>
      <c r="P23" s="319"/>
      <c r="Q23" s="319">
        <f>Q33+Q35</f>
        <v>84362.486000000004</v>
      </c>
      <c r="R23" s="319">
        <f>R33+R35+R40</f>
        <v>8393.5999999999985</v>
      </c>
      <c r="S23" s="319">
        <f>S33+S35+S40+S36</f>
        <v>17356.2</v>
      </c>
      <c r="T23" s="315"/>
      <c r="U23" s="320"/>
      <c r="V23" s="315"/>
      <c r="W23" s="315"/>
      <c r="X23" s="315"/>
      <c r="Y23" s="315"/>
      <c r="Z23" s="315"/>
      <c r="AA23" s="112"/>
    </row>
    <row r="24" spans="1:29" s="111" customFormat="1" ht="78.75">
      <c r="A24" s="548"/>
      <c r="B24" s="548"/>
      <c r="C24" s="548"/>
      <c r="D24" s="548"/>
      <c r="E24" s="548"/>
      <c r="F24" s="551"/>
      <c r="G24" s="314" t="s">
        <v>113</v>
      </c>
      <c r="H24" s="317" t="s">
        <v>114</v>
      </c>
      <c r="I24" s="317"/>
      <c r="J24" s="317"/>
      <c r="K24" s="317"/>
      <c r="L24" s="318"/>
      <c r="M24" s="319"/>
      <c r="N24" s="319"/>
      <c r="O24" s="319"/>
      <c r="P24" s="319"/>
      <c r="Q24" s="319"/>
      <c r="R24" s="319"/>
      <c r="S24" s="319"/>
      <c r="T24" s="319">
        <f>T34+T35+T40+T38+T48+T54</f>
        <v>23781.299999999996</v>
      </c>
      <c r="U24" s="319">
        <f t="shared" ref="U24:Z24" si="8">U34+U35+U40+U38+U48+U54+U55</f>
        <v>36389.600000000006</v>
      </c>
      <c r="V24" s="319">
        <f t="shared" si="8"/>
        <v>0</v>
      </c>
      <c r="W24" s="319">
        <f t="shared" si="8"/>
        <v>0</v>
      </c>
      <c r="X24" s="319">
        <f t="shared" si="8"/>
        <v>0</v>
      </c>
      <c r="Y24" s="319">
        <f t="shared" si="8"/>
        <v>0</v>
      </c>
      <c r="Z24" s="319">
        <f t="shared" si="8"/>
        <v>0</v>
      </c>
      <c r="AA24" s="112"/>
    </row>
    <row r="25" spans="1:29" s="99" customFormat="1" ht="11.25">
      <c r="A25" s="515" t="s">
        <v>736</v>
      </c>
      <c r="B25" s="515" t="s">
        <v>737</v>
      </c>
      <c r="C25" s="515" t="s">
        <v>848</v>
      </c>
      <c r="D25" s="515"/>
      <c r="E25" s="515"/>
      <c r="F25" s="552" t="s">
        <v>849</v>
      </c>
      <c r="G25" s="199" t="s">
        <v>109</v>
      </c>
      <c r="H25" s="321"/>
      <c r="I25" s="321"/>
      <c r="J25" s="321"/>
      <c r="K25" s="321"/>
      <c r="L25" s="209"/>
      <c r="M25" s="322">
        <f>M26</f>
        <v>82980.100000000006</v>
      </c>
      <c r="N25" s="323">
        <f>N26+N42+N56</f>
        <v>79275.100000000006</v>
      </c>
      <c r="O25" s="323">
        <f>O26+O42+O56</f>
        <v>79165.599999999991</v>
      </c>
      <c r="P25" s="323">
        <f>P26+P42+P56</f>
        <v>87905.7</v>
      </c>
      <c r="Q25" s="323">
        <f>Q26+Q33+Q56+Q35+Q41</f>
        <v>189215.51799999998</v>
      </c>
      <c r="R25" s="323">
        <f>R26+R33+R56+R35+R41+R40</f>
        <v>100818.86992000001</v>
      </c>
      <c r="S25" s="323">
        <f>S26+S33+S56+S35+S41+S36+S39+S42</f>
        <v>177043.8</v>
      </c>
      <c r="T25" s="323">
        <f>T27+T42+T57+T38+T48+T54</f>
        <v>135645.1</v>
      </c>
      <c r="U25" s="323">
        <f>U27+U42+U57+U38+U48+U54+U55</f>
        <v>159809.9</v>
      </c>
      <c r="V25" s="323">
        <f>V27+V42+V57+V38+V48+V54</f>
        <v>132709.4</v>
      </c>
      <c r="W25" s="323">
        <f>W27+W42+W57+W38+W48+W54</f>
        <v>115537.2</v>
      </c>
      <c r="X25" s="323">
        <f>X27+X42+X57+X38+X48+X54</f>
        <v>115720</v>
      </c>
      <c r="Y25" s="323">
        <f>Y27+Y42+Y57+Y38+Y48+Y54</f>
        <v>121853.15999999999</v>
      </c>
      <c r="Z25" s="323">
        <f>Z27+Z42+Z57+Z38+Z48+Z54</f>
        <v>128311.37747999998</v>
      </c>
      <c r="AA25" s="114"/>
    </row>
    <row r="26" spans="1:29" s="99" customFormat="1" ht="22.5">
      <c r="A26" s="528"/>
      <c r="B26" s="528"/>
      <c r="C26" s="528"/>
      <c r="D26" s="528"/>
      <c r="E26" s="528"/>
      <c r="F26" s="553"/>
      <c r="G26" s="199" t="s">
        <v>117</v>
      </c>
      <c r="H26" s="321" t="s">
        <v>63</v>
      </c>
      <c r="I26" s="321" t="s">
        <v>886</v>
      </c>
      <c r="J26" s="321" t="s">
        <v>736</v>
      </c>
      <c r="K26" s="321" t="s">
        <v>118</v>
      </c>
      <c r="L26" s="209"/>
      <c r="M26" s="322">
        <f>M30+M28</f>
        <v>82980.100000000006</v>
      </c>
      <c r="N26" s="323">
        <f>N28+N30</f>
        <v>77424.5</v>
      </c>
      <c r="O26" s="323">
        <f>O30+O28</f>
        <v>77326</v>
      </c>
      <c r="P26" s="323">
        <f>P30+P28</f>
        <v>86997.8</v>
      </c>
      <c r="Q26" s="323">
        <f>Q30+Q28+Q42</f>
        <v>89756.774999999994</v>
      </c>
      <c r="R26" s="323">
        <f>R30+R28+R42</f>
        <v>92425.269920000006</v>
      </c>
      <c r="S26" s="323">
        <f>S30+S28</f>
        <v>102020.9</v>
      </c>
      <c r="T26" s="324"/>
      <c r="U26" s="325"/>
      <c r="V26" s="324"/>
      <c r="W26" s="324"/>
      <c r="X26" s="324"/>
      <c r="Y26" s="324"/>
      <c r="Z26" s="324"/>
      <c r="AA26" s="114"/>
    </row>
    <row r="27" spans="1:29" s="99" customFormat="1" ht="22.5">
      <c r="A27" s="516"/>
      <c r="B27" s="516"/>
      <c r="C27" s="516"/>
      <c r="D27" s="516"/>
      <c r="E27" s="516"/>
      <c r="F27" s="554"/>
      <c r="G27" s="199" t="s">
        <v>844</v>
      </c>
      <c r="H27" s="321" t="s">
        <v>67</v>
      </c>
      <c r="I27" s="321" t="s">
        <v>886</v>
      </c>
      <c r="J27" s="321" t="s">
        <v>736</v>
      </c>
      <c r="K27" s="321" t="s">
        <v>118</v>
      </c>
      <c r="L27" s="209"/>
      <c r="M27" s="322"/>
      <c r="N27" s="323"/>
      <c r="O27" s="323"/>
      <c r="P27" s="323"/>
      <c r="Q27" s="323"/>
      <c r="R27" s="323"/>
      <c r="S27" s="323"/>
      <c r="T27" s="323">
        <f t="shared" ref="T27:Z27" si="9">T29+T31+T32+T37</f>
        <v>110103.2</v>
      </c>
      <c r="U27" s="323">
        <f t="shared" si="9"/>
        <v>123015.1</v>
      </c>
      <c r="V27" s="323">
        <f t="shared" si="9"/>
        <v>132709.4</v>
      </c>
      <c r="W27" s="323">
        <f t="shared" si="9"/>
        <v>115537.2</v>
      </c>
      <c r="X27" s="323">
        <f t="shared" si="9"/>
        <v>115720</v>
      </c>
      <c r="Y27" s="323">
        <f t="shared" si="9"/>
        <v>121853.15999999999</v>
      </c>
      <c r="Z27" s="323">
        <f t="shared" si="9"/>
        <v>128311.37747999998</v>
      </c>
      <c r="AA27" s="114"/>
    </row>
    <row r="28" spans="1:29" s="99" customFormat="1" ht="45" customHeight="1">
      <c r="A28" s="515" t="s">
        <v>736</v>
      </c>
      <c r="B28" s="515" t="s">
        <v>737</v>
      </c>
      <c r="C28" s="515" t="s">
        <v>848</v>
      </c>
      <c r="D28" s="515" t="s">
        <v>737</v>
      </c>
      <c r="E28" s="515" t="s">
        <v>737</v>
      </c>
      <c r="F28" s="555" t="s">
        <v>850</v>
      </c>
      <c r="G28" s="199" t="s">
        <v>117</v>
      </c>
      <c r="H28" s="201" t="s">
        <v>119</v>
      </c>
      <c r="I28" s="201" t="s">
        <v>120</v>
      </c>
      <c r="J28" s="201" t="s">
        <v>121</v>
      </c>
      <c r="K28" s="201" t="s">
        <v>122</v>
      </c>
      <c r="L28" s="225" t="s">
        <v>123</v>
      </c>
      <c r="M28" s="322">
        <v>59685.8</v>
      </c>
      <c r="N28" s="322">
        <v>63277.5</v>
      </c>
      <c r="O28" s="322">
        <v>62464.1</v>
      </c>
      <c r="P28" s="322">
        <v>72777.8</v>
      </c>
      <c r="Q28" s="322">
        <v>76033.259999999995</v>
      </c>
      <c r="R28" s="322">
        <v>78156.800000000003</v>
      </c>
      <c r="S28" s="322">
        <v>85932.9</v>
      </c>
      <c r="T28" s="324"/>
      <c r="U28" s="324"/>
      <c r="V28" s="324"/>
      <c r="W28" s="324"/>
      <c r="X28" s="324"/>
      <c r="Y28" s="324"/>
      <c r="Z28" s="324"/>
      <c r="AA28" s="114" t="s">
        <v>124</v>
      </c>
    </row>
    <row r="29" spans="1:29" s="99" customFormat="1" ht="22.5">
      <c r="A29" s="516"/>
      <c r="B29" s="516"/>
      <c r="C29" s="516"/>
      <c r="D29" s="516"/>
      <c r="E29" s="516"/>
      <c r="F29" s="556"/>
      <c r="G29" s="199" t="s">
        <v>844</v>
      </c>
      <c r="H29" s="201" t="s">
        <v>67</v>
      </c>
      <c r="I29" s="201" t="s">
        <v>120</v>
      </c>
      <c r="J29" s="201" t="s">
        <v>121</v>
      </c>
      <c r="K29" s="201" t="s">
        <v>122</v>
      </c>
      <c r="L29" s="225" t="s">
        <v>123</v>
      </c>
      <c r="M29" s="322"/>
      <c r="N29" s="322"/>
      <c r="O29" s="322"/>
      <c r="P29" s="322"/>
      <c r="Q29" s="322"/>
      <c r="R29" s="322"/>
      <c r="S29" s="322"/>
      <c r="T29" s="322">
        <v>89553.4</v>
      </c>
      <c r="U29" s="322">
        <v>106543.7</v>
      </c>
      <c r="V29" s="326">
        <f>117400.5</f>
        <v>117400.5</v>
      </c>
      <c r="W29" s="322">
        <v>101625.9</v>
      </c>
      <c r="X29" s="322">
        <v>101808.7</v>
      </c>
      <c r="Y29" s="322">
        <f>X29*1.053</f>
        <v>107204.56109999999</v>
      </c>
      <c r="Z29" s="322">
        <f>Y29*1.053</f>
        <v>112886.40283829998</v>
      </c>
      <c r="AA29" s="114"/>
    </row>
    <row r="30" spans="1:29" s="99" customFormat="1" ht="33.75" customHeight="1">
      <c r="A30" s="515" t="s">
        <v>736</v>
      </c>
      <c r="B30" s="515" t="s">
        <v>737</v>
      </c>
      <c r="C30" s="515" t="s">
        <v>848</v>
      </c>
      <c r="D30" s="515" t="s">
        <v>757</v>
      </c>
      <c r="E30" s="515" t="s">
        <v>737</v>
      </c>
      <c r="F30" s="557" t="s">
        <v>125</v>
      </c>
      <c r="G30" s="199" t="s">
        <v>110</v>
      </c>
      <c r="H30" s="201" t="s">
        <v>119</v>
      </c>
      <c r="I30" s="201" t="s">
        <v>120</v>
      </c>
      <c r="J30" s="201" t="s">
        <v>121</v>
      </c>
      <c r="K30" s="201" t="s">
        <v>126</v>
      </c>
      <c r="L30" s="225" t="s">
        <v>123</v>
      </c>
      <c r="M30" s="327">
        <v>23294.3</v>
      </c>
      <c r="N30" s="327">
        <v>14147</v>
      </c>
      <c r="O30" s="322">
        <v>14861.9</v>
      </c>
      <c r="P30" s="322">
        <v>14220</v>
      </c>
      <c r="Q30" s="322">
        <v>13369.4</v>
      </c>
      <c r="R30" s="322">
        <v>12955.298919999999</v>
      </c>
      <c r="S30" s="322">
        <v>16088</v>
      </c>
      <c r="T30" s="324"/>
      <c r="U30" s="324"/>
      <c r="V30" s="324"/>
      <c r="W30" s="324"/>
      <c r="X30" s="324"/>
      <c r="Y30" s="322"/>
      <c r="Z30" s="322"/>
      <c r="AA30" s="114" t="s">
        <v>127</v>
      </c>
    </row>
    <row r="31" spans="1:29" s="99" customFormat="1" ht="22.5">
      <c r="A31" s="528"/>
      <c r="B31" s="528"/>
      <c r="C31" s="528"/>
      <c r="D31" s="528"/>
      <c r="E31" s="528"/>
      <c r="F31" s="558"/>
      <c r="G31" s="199" t="s">
        <v>844</v>
      </c>
      <c r="H31" s="201" t="s">
        <v>67</v>
      </c>
      <c r="I31" s="201" t="s">
        <v>120</v>
      </c>
      <c r="J31" s="201" t="s">
        <v>121</v>
      </c>
      <c r="K31" s="201" t="s">
        <v>126</v>
      </c>
      <c r="L31" s="225" t="s">
        <v>123</v>
      </c>
      <c r="M31" s="327"/>
      <c r="N31" s="327"/>
      <c r="O31" s="322"/>
      <c r="P31" s="322"/>
      <c r="Q31" s="322"/>
      <c r="R31" s="322"/>
      <c r="S31" s="322"/>
      <c r="T31" s="322">
        <v>15497.2</v>
      </c>
      <c r="U31" s="322">
        <v>16471.400000000001</v>
      </c>
      <c r="V31" s="326">
        <f>15308.9</f>
        <v>15308.9</v>
      </c>
      <c r="W31" s="322">
        <v>13911.3</v>
      </c>
      <c r="X31" s="322">
        <v>13911.3</v>
      </c>
      <c r="Y31" s="322">
        <f>X31*1.053</f>
        <v>14648.598899999999</v>
      </c>
      <c r="Z31" s="322">
        <f>Y31*1.053</f>
        <v>15424.974641699999</v>
      </c>
      <c r="AA31" s="114"/>
    </row>
    <row r="32" spans="1:29" s="99" customFormat="1" ht="22.5">
      <c r="A32" s="516"/>
      <c r="B32" s="516"/>
      <c r="C32" s="516"/>
      <c r="D32" s="516"/>
      <c r="E32" s="516"/>
      <c r="F32" s="559"/>
      <c r="G32" s="199" t="s">
        <v>844</v>
      </c>
      <c r="H32" s="201" t="s">
        <v>67</v>
      </c>
      <c r="I32" s="201" t="s">
        <v>120</v>
      </c>
      <c r="J32" s="201" t="s">
        <v>121</v>
      </c>
      <c r="K32" s="201" t="s">
        <v>128</v>
      </c>
      <c r="L32" s="225" t="s">
        <v>129</v>
      </c>
      <c r="M32" s="327"/>
      <c r="N32" s="327"/>
      <c r="O32" s="322"/>
      <c r="P32" s="322"/>
      <c r="Q32" s="322"/>
      <c r="R32" s="322"/>
      <c r="S32" s="322"/>
      <c r="T32" s="322">
        <v>60</v>
      </c>
      <c r="U32" s="322"/>
      <c r="V32" s="322"/>
      <c r="W32" s="322"/>
      <c r="X32" s="322"/>
      <c r="Y32" s="322"/>
      <c r="Z32" s="322"/>
      <c r="AA32" s="114"/>
    </row>
    <row r="33" spans="1:27" s="99" customFormat="1" ht="78.75">
      <c r="A33" s="515" t="s">
        <v>736</v>
      </c>
      <c r="B33" s="515" t="s">
        <v>737</v>
      </c>
      <c r="C33" s="515" t="s">
        <v>859</v>
      </c>
      <c r="D33" s="515"/>
      <c r="E33" s="515"/>
      <c r="F33" s="529" t="s">
        <v>130</v>
      </c>
      <c r="G33" s="199" t="s">
        <v>113</v>
      </c>
      <c r="H33" s="201" t="s">
        <v>86</v>
      </c>
      <c r="I33" s="201" t="s">
        <v>886</v>
      </c>
      <c r="J33" s="201" t="s">
        <v>736</v>
      </c>
      <c r="K33" s="201" t="s">
        <v>131</v>
      </c>
      <c r="L33" s="225" t="s">
        <v>132</v>
      </c>
      <c r="M33" s="327"/>
      <c r="N33" s="327"/>
      <c r="O33" s="322"/>
      <c r="P33" s="322"/>
      <c r="Q33" s="322">
        <v>3436.1469999999999</v>
      </c>
      <c r="R33" s="322">
        <v>0.8</v>
      </c>
      <c r="S33" s="322"/>
      <c r="T33" s="324"/>
      <c r="U33" s="324"/>
      <c r="V33" s="324"/>
      <c r="W33" s="324"/>
      <c r="X33" s="324"/>
      <c r="Y33" s="324"/>
      <c r="Z33" s="324"/>
      <c r="AA33" s="114"/>
    </row>
    <row r="34" spans="1:27" s="99" customFormat="1" ht="78.75">
      <c r="A34" s="516"/>
      <c r="B34" s="516"/>
      <c r="C34" s="516"/>
      <c r="D34" s="516"/>
      <c r="E34" s="516"/>
      <c r="F34" s="530"/>
      <c r="G34" s="199" t="s">
        <v>113</v>
      </c>
      <c r="H34" s="201" t="s">
        <v>114</v>
      </c>
      <c r="I34" s="201" t="s">
        <v>886</v>
      </c>
      <c r="J34" s="201" t="s">
        <v>736</v>
      </c>
      <c r="K34" s="201" t="s">
        <v>131</v>
      </c>
      <c r="L34" s="225" t="s">
        <v>132</v>
      </c>
      <c r="M34" s="327"/>
      <c r="N34" s="327"/>
      <c r="O34" s="322"/>
      <c r="P34" s="322"/>
      <c r="Q34" s="322"/>
      <c r="R34" s="322"/>
      <c r="S34" s="322"/>
      <c r="T34" s="322"/>
      <c r="U34" s="322"/>
      <c r="V34" s="322"/>
      <c r="W34" s="322"/>
      <c r="X34" s="322"/>
      <c r="Y34" s="322"/>
      <c r="Z34" s="322"/>
      <c r="AA34" s="114"/>
    </row>
    <row r="35" spans="1:27" s="99" customFormat="1" ht="78.75">
      <c r="A35" s="209" t="s">
        <v>736</v>
      </c>
      <c r="B35" s="209" t="s">
        <v>737</v>
      </c>
      <c r="C35" s="209" t="s">
        <v>859</v>
      </c>
      <c r="D35" s="209"/>
      <c r="E35" s="209"/>
      <c r="F35" s="199" t="s">
        <v>863</v>
      </c>
      <c r="G35" s="199" t="s">
        <v>113</v>
      </c>
      <c r="H35" s="201" t="s">
        <v>86</v>
      </c>
      <c r="I35" s="201" t="s">
        <v>886</v>
      </c>
      <c r="J35" s="201" t="s">
        <v>736</v>
      </c>
      <c r="K35" s="201" t="s">
        <v>133</v>
      </c>
      <c r="L35" s="225" t="s">
        <v>132</v>
      </c>
      <c r="M35" s="327"/>
      <c r="N35" s="327"/>
      <c r="O35" s="322"/>
      <c r="P35" s="322"/>
      <c r="Q35" s="322">
        <v>80926.339000000007</v>
      </c>
      <c r="R35" s="322">
        <v>110</v>
      </c>
      <c r="S35" s="322"/>
      <c r="T35" s="322"/>
      <c r="U35" s="322"/>
      <c r="V35" s="322"/>
      <c r="W35" s="322"/>
      <c r="X35" s="322"/>
      <c r="Y35" s="322"/>
      <c r="Z35" s="322"/>
      <c r="AA35" s="114"/>
    </row>
    <row r="36" spans="1:27" s="99" customFormat="1" ht="45" customHeight="1">
      <c r="A36" s="515" t="s">
        <v>736</v>
      </c>
      <c r="B36" s="515" t="s">
        <v>737</v>
      </c>
      <c r="C36" s="515" t="s">
        <v>737</v>
      </c>
      <c r="D36" s="515"/>
      <c r="E36" s="515"/>
      <c r="F36" s="557" t="s">
        <v>863</v>
      </c>
      <c r="G36" s="199" t="s">
        <v>844</v>
      </c>
      <c r="H36" s="201" t="s">
        <v>63</v>
      </c>
      <c r="I36" s="201" t="s">
        <v>886</v>
      </c>
      <c r="J36" s="201" t="s">
        <v>736</v>
      </c>
      <c r="K36" s="201" t="s">
        <v>134</v>
      </c>
      <c r="L36" s="225" t="s">
        <v>135</v>
      </c>
      <c r="M36" s="327"/>
      <c r="N36" s="327"/>
      <c r="O36" s="322"/>
      <c r="P36" s="322"/>
      <c r="Q36" s="322"/>
      <c r="R36" s="322"/>
      <c r="S36" s="322">
        <v>17356.2</v>
      </c>
      <c r="T36" s="322"/>
      <c r="U36" s="322"/>
      <c r="V36" s="322"/>
      <c r="W36" s="322"/>
      <c r="X36" s="322"/>
      <c r="Y36" s="322"/>
      <c r="Z36" s="322"/>
      <c r="AA36" s="114" t="s">
        <v>136</v>
      </c>
    </row>
    <row r="37" spans="1:27" s="99" customFormat="1" ht="22.5">
      <c r="A37" s="528"/>
      <c r="B37" s="528"/>
      <c r="C37" s="528"/>
      <c r="D37" s="528"/>
      <c r="E37" s="528"/>
      <c r="F37" s="558"/>
      <c r="G37" s="199" t="s">
        <v>844</v>
      </c>
      <c r="H37" s="201" t="s">
        <v>67</v>
      </c>
      <c r="I37" s="201" t="s">
        <v>886</v>
      </c>
      <c r="J37" s="201" t="s">
        <v>736</v>
      </c>
      <c r="K37" s="201" t="s">
        <v>134</v>
      </c>
      <c r="L37" s="225" t="s">
        <v>135</v>
      </c>
      <c r="M37" s="327"/>
      <c r="N37" s="327"/>
      <c r="O37" s="322"/>
      <c r="P37" s="322"/>
      <c r="Q37" s="322"/>
      <c r="R37" s="322"/>
      <c r="S37" s="322"/>
      <c r="T37" s="322">
        <v>4992.6000000000004</v>
      </c>
      <c r="U37" s="322"/>
      <c r="V37" s="322"/>
      <c r="W37" s="322"/>
      <c r="X37" s="322"/>
      <c r="Y37" s="322"/>
      <c r="Z37" s="322"/>
      <c r="AA37" s="114"/>
    </row>
    <row r="38" spans="1:27" s="99" customFormat="1" ht="78.75">
      <c r="A38" s="516"/>
      <c r="B38" s="516"/>
      <c r="C38" s="516"/>
      <c r="D38" s="516"/>
      <c r="E38" s="516"/>
      <c r="F38" s="559"/>
      <c r="G38" s="199" t="s">
        <v>113</v>
      </c>
      <c r="H38" s="201" t="s">
        <v>114</v>
      </c>
      <c r="I38" s="201" t="s">
        <v>886</v>
      </c>
      <c r="J38" s="201" t="s">
        <v>736</v>
      </c>
      <c r="K38" s="201" t="s">
        <v>134</v>
      </c>
      <c r="L38" s="225" t="s">
        <v>135</v>
      </c>
      <c r="M38" s="327"/>
      <c r="N38" s="327"/>
      <c r="O38" s="322"/>
      <c r="P38" s="322"/>
      <c r="Q38" s="322"/>
      <c r="R38" s="322"/>
      <c r="S38" s="322"/>
      <c r="T38" s="322">
        <v>23009.599999999999</v>
      </c>
      <c r="U38" s="322">
        <v>36335.800000000003</v>
      </c>
      <c r="V38" s="322"/>
      <c r="W38" s="322"/>
      <c r="X38" s="322"/>
      <c r="Y38" s="322"/>
      <c r="Z38" s="322"/>
      <c r="AA38" s="114"/>
    </row>
    <row r="39" spans="1:27" s="99" customFormat="1" ht="78.75">
      <c r="A39" s="209" t="s">
        <v>736</v>
      </c>
      <c r="B39" s="209" t="s">
        <v>737</v>
      </c>
      <c r="C39" s="209"/>
      <c r="D39" s="209"/>
      <c r="E39" s="209"/>
      <c r="F39" s="199" t="s">
        <v>863</v>
      </c>
      <c r="G39" s="199" t="s">
        <v>113</v>
      </c>
      <c r="H39" s="201" t="s">
        <v>86</v>
      </c>
      <c r="I39" s="201" t="s">
        <v>886</v>
      </c>
      <c r="J39" s="201" t="s">
        <v>736</v>
      </c>
      <c r="K39" s="201" t="s">
        <v>137</v>
      </c>
      <c r="L39" s="225" t="s">
        <v>132</v>
      </c>
      <c r="M39" s="327"/>
      <c r="N39" s="327"/>
      <c r="O39" s="322"/>
      <c r="P39" s="322"/>
      <c r="Q39" s="322"/>
      <c r="R39" s="322"/>
      <c r="S39" s="322">
        <v>56386</v>
      </c>
      <c r="T39" s="322"/>
      <c r="U39" s="322"/>
      <c r="V39" s="322"/>
      <c r="W39" s="322"/>
      <c r="X39" s="322"/>
      <c r="Y39" s="322"/>
      <c r="Z39" s="322"/>
      <c r="AA39" s="114" t="s">
        <v>136</v>
      </c>
    </row>
    <row r="40" spans="1:27" s="99" customFormat="1" ht="78.75">
      <c r="A40" s="209" t="s">
        <v>736</v>
      </c>
      <c r="B40" s="209" t="s">
        <v>737</v>
      </c>
      <c r="C40" s="209"/>
      <c r="D40" s="209"/>
      <c r="E40" s="209"/>
      <c r="F40" s="199" t="s">
        <v>863</v>
      </c>
      <c r="G40" s="199" t="s">
        <v>113</v>
      </c>
      <c r="H40" s="201" t="s">
        <v>86</v>
      </c>
      <c r="I40" s="201" t="s">
        <v>886</v>
      </c>
      <c r="J40" s="201" t="s">
        <v>736</v>
      </c>
      <c r="K40" s="201" t="s">
        <v>138</v>
      </c>
      <c r="L40" s="225" t="s">
        <v>132</v>
      </c>
      <c r="M40" s="327"/>
      <c r="N40" s="327"/>
      <c r="O40" s="322"/>
      <c r="P40" s="322"/>
      <c r="Q40" s="322"/>
      <c r="R40" s="322">
        <v>8282.7999999999993</v>
      </c>
      <c r="S40" s="322"/>
      <c r="T40" s="322"/>
      <c r="U40" s="322"/>
      <c r="V40" s="322"/>
      <c r="W40" s="322"/>
      <c r="X40" s="322"/>
      <c r="Y40" s="322"/>
      <c r="Z40" s="322"/>
      <c r="AA40" s="114"/>
    </row>
    <row r="41" spans="1:27" s="99" customFormat="1" ht="33.75">
      <c r="A41" s="209" t="s">
        <v>736</v>
      </c>
      <c r="B41" s="209" t="s">
        <v>737</v>
      </c>
      <c r="C41" s="209" t="s">
        <v>859</v>
      </c>
      <c r="D41" s="209"/>
      <c r="E41" s="209"/>
      <c r="F41" s="199" t="s">
        <v>130</v>
      </c>
      <c r="G41" s="199" t="s">
        <v>117</v>
      </c>
      <c r="H41" s="201" t="s">
        <v>63</v>
      </c>
      <c r="I41" s="201" t="s">
        <v>886</v>
      </c>
      <c r="J41" s="201" t="s">
        <v>736</v>
      </c>
      <c r="K41" s="201" t="s">
        <v>139</v>
      </c>
      <c r="L41" s="225" t="s">
        <v>135</v>
      </c>
      <c r="M41" s="327"/>
      <c r="N41" s="327"/>
      <c r="O41" s="322"/>
      <c r="P41" s="322"/>
      <c r="Q41" s="322">
        <v>9657.9079999999994</v>
      </c>
      <c r="R41" s="322"/>
      <c r="S41" s="322"/>
      <c r="T41" s="322"/>
      <c r="U41" s="322"/>
      <c r="V41" s="322"/>
      <c r="W41" s="322"/>
      <c r="X41" s="322"/>
      <c r="Y41" s="322"/>
      <c r="Z41" s="322"/>
      <c r="AA41" s="114"/>
    </row>
    <row r="42" spans="1:27" s="99" customFormat="1" ht="31.5">
      <c r="A42" s="318" t="s">
        <v>736</v>
      </c>
      <c r="B42" s="318" t="s">
        <v>737</v>
      </c>
      <c r="C42" s="318" t="s">
        <v>869</v>
      </c>
      <c r="D42" s="318"/>
      <c r="E42" s="318"/>
      <c r="F42" s="309" t="s">
        <v>140</v>
      </c>
      <c r="G42" s="314" t="s">
        <v>117</v>
      </c>
      <c r="H42" s="328" t="s">
        <v>63</v>
      </c>
      <c r="I42" s="328" t="s">
        <v>886</v>
      </c>
      <c r="J42" s="328" t="s">
        <v>736</v>
      </c>
      <c r="K42" s="328" t="s">
        <v>141</v>
      </c>
      <c r="L42" s="329"/>
      <c r="M42" s="330"/>
      <c r="N42" s="331">
        <f>N46+N49+N50+N52</f>
        <v>1324.6</v>
      </c>
      <c r="O42" s="331">
        <f>O46+O49+O50+O52</f>
        <v>1627.9</v>
      </c>
      <c r="P42" s="331">
        <f>P46+P49+P50+P52</f>
        <v>907.9</v>
      </c>
      <c r="Q42" s="331">
        <f>Q46+Q49+Q50+Q52</f>
        <v>354.11500000000001</v>
      </c>
      <c r="R42" s="331">
        <f>R46+R49+R50+R52+R53</f>
        <v>1313.171</v>
      </c>
      <c r="S42" s="331">
        <f>S46+S49+S50+S52+S58+S56</f>
        <v>1280.7</v>
      </c>
      <c r="T42" s="331">
        <f>T47+T51</f>
        <v>260.60000000000002</v>
      </c>
      <c r="U42" s="331">
        <f>U47+U49+U50+U52+U51</f>
        <v>405.2</v>
      </c>
      <c r="V42" s="331">
        <f>V47+V49+V50+V52</f>
        <v>0</v>
      </c>
      <c r="W42" s="331">
        <f>W47+W49+W50+W52</f>
        <v>0</v>
      </c>
      <c r="X42" s="331">
        <f>X47+X49+X50+X52</f>
        <v>0</v>
      </c>
      <c r="Y42" s="331">
        <f>Y47+Y49+Y50+Y52</f>
        <v>0</v>
      </c>
      <c r="Z42" s="331">
        <f>Z47+Z49+Z50+Z52</f>
        <v>0</v>
      </c>
      <c r="AA42" s="114"/>
    </row>
    <row r="43" spans="1:27" s="99" customFormat="1" ht="32.25" customHeight="1">
      <c r="A43" s="318"/>
      <c r="B43" s="318"/>
      <c r="C43" s="318"/>
      <c r="D43" s="318"/>
      <c r="E43" s="318"/>
      <c r="F43" s="309"/>
      <c r="G43" s="314"/>
      <c r="H43" s="328"/>
      <c r="I43" s="328"/>
      <c r="J43" s="328"/>
      <c r="K43" s="328"/>
      <c r="L43" s="329"/>
      <c r="M43" s="330"/>
      <c r="N43" s="331"/>
      <c r="O43" s="331"/>
      <c r="P43" s="331"/>
      <c r="Q43" s="331"/>
      <c r="R43" s="331"/>
      <c r="S43" s="331"/>
      <c r="T43" s="331"/>
      <c r="U43" s="331"/>
      <c r="V43" s="331"/>
      <c r="W43" s="331"/>
      <c r="X43" s="331"/>
      <c r="Y43" s="331"/>
      <c r="Z43" s="331"/>
      <c r="AA43" s="114"/>
    </row>
    <row r="44" spans="1:27" s="99" customFormat="1" ht="11.25">
      <c r="A44" s="318"/>
      <c r="B44" s="318"/>
      <c r="C44" s="318"/>
      <c r="D44" s="318"/>
      <c r="E44" s="318"/>
      <c r="F44" s="309"/>
      <c r="G44" s="314"/>
      <c r="H44" s="328"/>
      <c r="I44" s="328"/>
      <c r="J44" s="328"/>
      <c r="K44" s="328"/>
      <c r="L44" s="329"/>
      <c r="M44" s="330"/>
      <c r="N44" s="331"/>
      <c r="O44" s="331"/>
      <c r="P44" s="331"/>
      <c r="Q44" s="331"/>
      <c r="R44" s="331"/>
      <c r="S44" s="331"/>
      <c r="T44" s="331"/>
      <c r="U44" s="331"/>
      <c r="V44" s="331"/>
      <c r="W44" s="331"/>
      <c r="X44" s="331"/>
      <c r="Y44" s="331"/>
      <c r="Z44" s="331"/>
      <c r="AA44" s="114"/>
    </row>
    <row r="45" spans="1:27" s="99" customFormat="1" ht="33.75">
      <c r="A45" s="332" t="s">
        <v>736</v>
      </c>
      <c r="B45" s="332" t="s">
        <v>737</v>
      </c>
      <c r="C45" s="332" t="s">
        <v>869</v>
      </c>
      <c r="D45" s="332" t="s">
        <v>933</v>
      </c>
      <c r="E45" s="332" t="s">
        <v>803</v>
      </c>
      <c r="F45" s="333" t="s">
        <v>977</v>
      </c>
      <c r="G45" s="211"/>
      <c r="H45" s="334" t="s">
        <v>67</v>
      </c>
      <c r="I45" s="334" t="s">
        <v>886</v>
      </c>
      <c r="J45" s="334" t="s">
        <v>736</v>
      </c>
      <c r="K45" s="334" t="s">
        <v>146</v>
      </c>
      <c r="L45" s="335" t="s">
        <v>135</v>
      </c>
      <c r="M45" s="336"/>
      <c r="N45" s="337"/>
      <c r="O45" s="337"/>
      <c r="P45" s="337"/>
      <c r="Q45" s="337"/>
      <c r="R45" s="337"/>
      <c r="S45" s="337"/>
      <c r="T45" s="337"/>
      <c r="U45" s="337"/>
      <c r="V45" s="338">
        <f>235.2+49.3</f>
        <v>284.5</v>
      </c>
      <c r="W45" s="337"/>
      <c r="X45" s="337"/>
      <c r="Y45" s="337"/>
      <c r="Z45" s="337"/>
      <c r="AA45" s="114"/>
    </row>
    <row r="46" spans="1:27" s="99" customFormat="1" ht="22.5">
      <c r="A46" s="515" t="s">
        <v>736</v>
      </c>
      <c r="B46" s="515" t="s">
        <v>737</v>
      </c>
      <c r="C46" s="515" t="s">
        <v>869</v>
      </c>
      <c r="D46" s="515" t="s">
        <v>737</v>
      </c>
      <c r="E46" s="515" t="s">
        <v>737</v>
      </c>
      <c r="F46" s="557" t="s">
        <v>142</v>
      </c>
      <c r="G46" s="199" t="s">
        <v>110</v>
      </c>
      <c r="H46" s="201" t="s">
        <v>63</v>
      </c>
      <c r="I46" s="201" t="s">
        <v>886</v>
      </c>
      <c r="J46" s="201" t="s">
        <v>736</v>
      </c>
      <c r="K46" s="201" t="s">
        <v>143</v>
      </c>
      <c r="L46" s="225" t="s">
        <v>135</v>
      </c>
      <c r="M46" s="327"/>
      <c r="N46" s="327">
        <v>126.8</v>
      </c>
      <c r="O46" s="322">
        <v>479.2</v>
      </c>
      <c r="P46" s="322">
        <v>304.7</v>
      </c>
      <c r="Q46" s="322">
        <v>287.51499999999999</v>
      </c>
      <c r="R46" s="322">
        <v>409.01400000000001</v>
      </c>
      <c r="S46" s="322">
        <v>1280.7</v>
      </c>
      <c r="T46" s="324"/>
      <c r="U46" s="324"/>
      <c r="V46" s="339">
        <f>99.3</f>
        <v>99.3</v>
      </c>
      <c r="W46" s="324"/>
      <c r="X46" s="324"/>
      <c r="Y46" s="324"/>
      <c r="Z46" s="324"/>
      <c r="AA46" s="114"/>
    </row>
    <row r="47" spans="1:27" s="99" customFormat="1" ht="22.5">
      <c r="A47" s="528"/>
      <c r="B47" s="528"/>
      <c r="C47" s="528"/>
      <c r="D47" s="528"/>
      <c r="E47" s="528"/>
      <c r="F47" s="558"/>
      <c r="G47" s="199" t="s">
        <v>844</v>
      </c>
      <c r="H47" s="201" t="s">
        <v>67</v>
      </c>
      <c r="I47" s="201" t="s">
        <v>886</v>
      </c>
      <c r="J47" s="201" t="s">
        <v>736</v>
      </c>
      <c r="K47" s="201" t="s">
        <v>143</v>
      </c>
      <c r="L47" s="225" t="s">
        <v>135</v>
      </c>
      <c r="M47" s="327"/>
      <c r="N47" s="327"/>
      <c r="O47" s="322"/>
      <c r="P47" s="322"/>
      <c r="Q47" s="322"/>
      <c r="R47" s="322"/>
      <c r="S47" s="322"/>
      <c r="T47" s="322">
        <v>79.2</v>
      </c>
      <c r="U47" s="322">
        <v>55.9</v>
      </c>
      <c r="V47" s="322">
        <v>0</v>
      </c>
      <c r="W47" s="322">
        <v>0</v>
      </c>
      <c r="X47" s="322">
        <v>0</v>
      </c>
      <c r="Y47" s="322">
        <f>X47*1.053</f>
        <v>0</v>
      </c>
      <c r="Z47" s="322">
        <f>Y47*1.053</f>
        <v>0</v>
      </c>
      <c r="AA47" s="114" t="s">
        <v>147</v>
      </c>
    </row>
    <row r="48" spans="1:27" s="99" customFormat="1" ht="78.75">
      <c r="A48" s="516"/>
      <c r="B48" s="516"/>
      <c r="C48" s="516"/>
      <c r="D48" s="516"/>
      <c r="E48" s="516"/>
      <c r="F48" s="559"/>
      <c r="G48" s="199" t="s">
        <v>113</v>
      </c>
      <c r="H48" s="201" t="s">
        <v>114</v>
      </c>
      <c r="I48" s="201" t="s">
        <v>886</v>
      </c>
      <c r="J48" s="201" t="s">
        <v>736</v>
      </c>
      <c r="K48" s="201" t="s">
        <v>143</v>
      </c>
      <c r="L48" s="225" t="s">
        <v>144</v>
      </c>
      <c r="M48" s="327"/>
      <c r="N48" s="327"/>
      <c r="O48" s="322"/>
      <c r="P48" s="322"/>
      <c r="Q48" s="322"/>
      <c r="R48" s="322"/>
      <c r="S48" s="322"/>
      <c r="T48" s="322">
        <v>263.60000000000002</v>
      </c>
      <c r="U48" s="322"/>
      <c r="V48" s="322"/>
      <c r="W48" s="322"/>
      <c r="X48" s="322"/>
      <c r="Y48" s="322"/>
      <c r="Z48" s="322"/>
      <c r="AA48" s="114"/>
    </row>
    <row r="49" spans="1:29" s="99" customFormat="1" ht="78.75">
      <c r="A49" s="209" t="s">
        <v>736</v>
      </c>
      <c r="B49" s="209" t="s">
        <v>737</v>
      </c>
      <c r="C49" s="209" t="s">
        <v>869</v>
      </c>
      <c r="D49" s="209" t="s">
        <v>737</v>
      </c>
      <c r="E49" s="209" t="s">
        <v>757</v>
      </c>
      <c r="F49" s="199" t="s">
        <v>142</v>
      </c>
      <c r="G49" s="199" t="s">
        <v>110</v>
      </c>
      <c r="H49" s="201" t="s">
        <v>63</v>
      </c>
      <c r="I49" s="201" t="s">
        <v>886</v>
      </c>
      <c r="J49" s="201" t="s">
        <v>736</v>
      </c>
      <c r="K49" s="201" t="s">
        <v>145</v>
      </c>
      <c r="L49" s="225" t="s">
        <v>135</v>
      </c>
      <c r="M49" s="327"/>
      <c r="N49" s="327"/>
      <c r="O49" s="322">
        <v>210</v>
      </c>
      <c r="P49" s="322"/>
      <c r="Q49" s="322"/>
      <c r="R49" s="322"/>
      <c r="S49" s="322"/>
      <c r="T49" s="322"/>
      <c r="U49" s="322"/>
      <c r="V49" s="322"/>
      <c r="W49" s="322"/>
      <c r="X49" s="322"/>
      <c r="Y49" s="322"/>
      <c r="Z49" s="322"/>
      <c r="AA49" s="115" t="s">
        <v>150</v>
      </c>
    </row>
    <row r="50" spans="1:29" s="99" customFormat="1" ht="58.5" customHeight="1">
      <c r="A50" s="515" t="s">
        <v>736</v>
      </c>
      <c r="B50" s="515" t="s">
        <v>737</v>
      </c>
      <c r="C50" s="515" t="s">
        <v>869</v>
      </c>
      <c r="D50" s="515" t="s">
        <v>757</v>
      </c>
      <c r="E50" s="515" t="s">
        <v>737</v>
      </c>
      <c r="F50" s="557" t="s">
        <v>955</v>
      </c>
      <c r="G50" s="199" t="s">
        <v>110</v>
      </c>
      <c r="H50" s="201" t="s">
        <v>63</v>
      </c>
      <c r="I50" s="201" t="s">
        <v>886</v>
      </c>
      <c r="J50" s="201" t="s">
        <v>736</v>
      </c>
      <c r="K50" s="201" t="s">
        <v>146</v>
      </c>
      <c r="L50" s="225" t="s">
        <v>135</v>
      </c>
      <c r="M50" s="327"/>
      <c r="N50" s="327">
        <v>300</v>
      </c>
      <c r="O50" s="322">
        <v>355.5</v>
      </c>
      <c r="P50" s="322">
        <v>95.6</v>
      </c>
      <c r="Q50" s="322">
        <v>66.599999999999994</v>
      </c>
      <c r="R50" s="322">
        <v>40.734000000000002</v>
      </c>
      <c r="S50" s="322"/>
      <c r="T50" s="322"/>
      <c r="U50" s="322"/>
      <c r="V50" s="322"/>
      <c r="W50" s="322"/>
      <c r="X50" s="322"/>
      <c r="Y50" s="322"/>
      <c r="Z50" s="322"/>
      <c r="AA50" s="115"/>
    </row>
    <row r="51" spans="1:29" s="99" customFormat="1" ht="58.5" customHeight="1">
      <c r="A51" s="516"/>
      <c r="B51" s="516"/>
      <c r="C51" s="516"/>
      <c r="D51" s="516"/>
      <c r="E51" s="516"/>
      <c r="F51" s="559"/>
      <c r="G51" s="199" t="s">
        <v>110</v>
      </c>
      <c r="H51" s="201" t="s">
        <v>67</v>
      </c>
      <c r="I51" s="201" t="s">
        <v>886</v>
      </c>
      <c r="J51" s="201" t="s">
        <v>736</v>
      </c>
      <c r="K51" s="201" t="s">
        <v>146</v>
      </c>
      <c r="L51" s="225" t="s">
        <v>135</v>
      </c>
      <c r="M51" s="327"/>
      <c r="N51" s="327"/>
      <c r="O51" s="322"/>
      <c r="P51" s="322"/>
      <c r="Q51" s="322"/>
      <c r="R51" s="322"/>
      <c r="S51" s="322"/>
      <c r="T51" s="322">
        <v>181.4</v>
      </c>
      <c r="U51" s="322">
        <v>349.3</v>
      </c>
      <c r="V51" s="322"/>
      <c r="W51" s="322"/>
      <c r="X51" s="322"/>
      <c r="Y51" s="322"/>
      <c r="Z51" s="322"/>
      <c r="AA51" s="115"/>
    </row>
    <row r="52" spans="1:29" s="99" customFormat="1" ht="58.5" customHeight="1">
      <c r="A52" s="209" t="s">
        <v>736</v>
      </c>
      <c r="B52" s="209" t="s">
        <v>737</v>
      </c>
      <c r="C52" s="209" t="s">
        <v>869</v>
      </c>
      <c r="D52" s="209" t="s">
        <v>780</v>
      </c>
      <c r="E52" s="209" t="s">
        <v>737</v>
      </c>
      <c r="F52" s="199" t="s">
        <v>148</v>
      </c>
      <c r="G52" s="199" t="s">
        <v>117</v>
      </c>
      <c r="H52" s="201" t="s">
        <v>63</v>
      </c>
      <c r="I52" s="201" t="s">
        <v>886</v>
      </c>
      <c r="J52" s="201" t="s">
        <v>736</v>
      </c>
      <c r="K52" s="201" t="s">
        <v>149</v>
      </c>
      <c r="L52" s="225" t="s">
        <v>135</v>
      </c>
      <c r="M52" s="327"/>
      <c r="N52" s="327">
        <v>897.8</v>
      </c>
      <c r="O52" s="322">
        <v>583.20000000000005</v>
      </c>
      <c r="P52" s="322">
        <f>502.5+5.1</f>
        <v>507.6</v>
      </c>
      <c r="Q52" s="322"/>
      <c r="R52" s="322">
        <v>863.423</v>
      </c>
      <c r="S52" s="322"/>
      <c r="T52" s="322"/>
      <c r="U52" s="322"/>
      <c r="V52" s="322"/>
      <c r="W52" s="322"/>
      <c r="X52" s="322"/>
      <c r="Y52" s="322"/>
      <c r="Z52" s="322"/>
      <c r="AA52" s="115"/>
    </row>
    <row r="53" spans="1:29" s="99" customFormat="1" ht="33.75" customHeight="1">
      <c r="A53" s="209" t="s">
        <v>736</v>
      </c>
      <c r="B53" s="209" t="s">
        <v>737</v>
      </c>
      <c r="C53" s="209" t="s">
        <v>869</v>
      </c>
      <c r="D53" s="209" t="s">
        <v>780</v>
      </c>
      <c r="E53" s="209" t="s">
        <v>737</v>
      </c>
      <c r="F53" s="199" t="s">
        <v>148</v>
      </c>
      <c r="G53" s="199" t="s">
        <v>117</v>
      </c>
      <c r="H53" s="201" t="s">
        <v>63</v>
      </c>
      <c r="I53" s="201" t="s">
        <v>886</v>
      </c>
      <c r="J53" s="201" t="s">
        <v>736</v>
      </c>
      <c r="K53" s="201" t="s">
        <v>151</v>
      </c>
      <c r="L53" s="225" t="s">
        <v>135</v>
      </c>
      <c r="M53" s="327"/>
      <c r="N53" s="327"/>
      <c r="O53" s="322"/>
      <c r="P53" s="322"/>
      <c r="Q53" s="322"/>
      <c r="R53" s="322"/>
      <c r="S53" s="322"/>
      <c r="T53" s="322"/>
      <c r="U53" s="322"/>
      <c r="V53" s="322"/>
      <c r="W53" s="322"/>
      <c r="X53" s="322"/>
      <c r="Y53" s="322"/>
      <c r="Z53" s="322"/>
      <c r="AA53" s="115" t="s">
        <v>159</v>
      </c>
    </row>
    <row r="54" spans="1:29" s="99" customFormat="1" ht="78.75">
      <c r="A54" s="209" t="s">
        <v>736</v>
      </c>
      <c r="B54" s="209" t="s">
        <v>737</v>
      </c>
      <c r="C54" s="209" t="s">
        <v>869</v>
      </c>
      <c r="D54" s="209"/>
      <c r="E54" s="209"/>
      <c r="F54" s="199" t="s">
        <v>152</v>
      </c>
      <c r="G54" s="199" t="s">
        <v>113</v>
      </c>
      <c r="H54" s="201" t="s">
        <v>114</v>
      </c>
      <c r="I54" s="201" t="s">
        <v>886</v>
      </c>
      <c r="J54" s="201" t="s">
        <v>736</v>
      </c>
      <c r="K54" s="201" t="s">
        <v>153</v>
      </c>
      <c r="L54" s="225" t="s">
        <v>154</v>
      </c>
      <c r="M54" s="327"/>
      <c r="N54" s="327"/>
      <c r="O54" s="322"/>
      <c r="P54" s="322"/>
      <c r="Q54" s="322"/>
      <c r="R54" s="322"/>
      <c r="S54" s="322"/>
      <c r="T54" s="322">
        <v>508.1</v>
      </c>
      <c r="U54" s="322"/>
      <c r="V54" s="322"/>
      <c r="W54" s="322"/>
      <c r="X54" s="322"/>
      <c r="Y54" s="322"/>
      <c r="Z54" s="322"/>
      <c r="AA54" s="115"/>
    </row>
    <row r="55" spans="1:29" s="99" customFormat="1" ht="27.75" customHeight="1">
      <c r="A55" s="209" t="s">
        <v>736</v>
      </c>
      <c r="B55" s="209" t="s">
        <v>737</v>
      </c>
      <c r="C55" s="209" t="s">
        <v>869</v>
      </c>
      <c r="D55" s="209"/>
      <c r="E55" s="209"/>
      <c r="F55" s="199" t="s">
        <v>155</v>
      </c>
      <c r="G55" s="199" t="s">
        <v>113</v>
      </c>
      <c r="H55" s="201" t="s">
        <v>114</v>
      </c>
      <c r="I55" s="201" t="s">
        <v>886</v>
      </c>
      <c r="J55" s="201" t="s">
        <v>736</v>
      </c>
      <c r="K55" s="201" t="s">
        <v>156</v>
      </c>
      <c r="L55" s="225" t="s">
        <v>144</v>
      </c>
      <c r="M55" s="327"/>
      <c r="N55" s="327"/>
      <c r="O55" s="322"/>
      <c r="P55" s="322"/>
      <c r="Q55" s="322"/>
      <c r="R55" s="322"/>
      <c r="S55" s="322"/>
      <c r="T55" s="322"/>
      <c r="U55" s="322">
        <v>53.8</v>
      </c>
      <c r="V55" s="322"/>
      <c r="W55" s="322"/>
      <c r="X55" s="322"/>
      <c r="Y55" s="322"/>
      <c r="Z55" s="322"/>
      <c r="AA55" s="114"/>
    </row>
    <row r="56" spans="1:29" s="99" customFormat="1" ht="27.75" customHeight="1">
      <c r="A56" s="515" t="s">
        <v>736</v>
      </c>
      <c r="B56" s="515" t="s">
        <v>737</v>
      </c>
      <c r="C56" s="515" t="s">
        <v>883</v>
      </c>
      <c r="D56" s="515"/>
      <c r="E56" s="515"/>
      <c r="F56" s="560" t="s">
        <v>157</v>
      </c>
      <c r="G56" s="557" t="s">
        <v>110</v>
      </c>
      <c r="H56" s="201" t="s">
        <v>63</v>
      </c>
      <c r="I56" s="201" t="s">
        <v>886</v>
      </c>
      <c r="J56" s="201" t="s">
        <v>736</v>
      </c>
      <c r="K56" s="201" t="s">
        <v>158</v>
      </c>
      <c r="L56" s="225"/>
      <c r="M56" s="327"/>
      <c r="N56" s="327">
        <f>526</f>
        <v>526</v>
      </c>
      <c r="O56" s="322">
        <v>211.7</v>
      </c>
      <c r="P56" s="322"/>
      <c r="Q56" s="322">
        <v>5438.3490000000002</v>
      </c>
      <c r="R56" s="322"/>
      <c r="S56" s="322">
        <v>0</v>
      </c>
      <c r="T56" s="322"/>
      <c r="U56" s="322"/>
      <c r="V56" s="322"/>
      <c r="W56" s="322"/>
      <c r="X56" s="322"/>
      <c r="Y56" s="322"/>
      <c r="Z56" s="322"/>
      <c r="AA56" s="114"/>
    </row>
    <row r="57" spans="1:29" s="111" customFormat="1" ht="11.25">
      <c r="A57" s="516"/>
      <c r="B57" s="516"/>
      <c r="C57" s="516"/>
      <c r="D57" s="516"/>
      <c r="E57" s="516"/>
      <c r="F57" s="561"/>
      <c r="G57" s="559"/>
      <c r="H57" s="201" t="s">
        <v>67</v>
      </c>
      <c r="I57" s="201" t="s">
        <v>886</v>
      </c>
      <c r="J57" s="201" t="s">
        <v>736</v>
      </c>
      <c r="K57" s="201" t="s">
        <v>158</v>
      </c>
      <c r="L57" s="225"/>
      <c r="M57" s="327"/>
      <c r="N57" s="327"/>
      <c r="O57" s="322"/>
      <c r="P57" s="322"/>
      <c r="Q57" s="322"/>
      <c r="R57" s="322"/>
      <c r="S57" s="322"/>
      <c r="T57" s="322">
        <v>1500</v>
      </c>
      <c r="U57" s="322"/>
      <c r="V57" s="322"/>
      <c r="W57" s="322"/>
      <c r="X57" s="322"/>
      <c r="Y57" s="322"/>
      <c r="Z57" s="322"/>
      <c r="AA57" s="112"/>
      <c r="AB57" s="113">
        <f>U64+U66+U68+U71+U79+U80+U81+U85+U91+U96+U99+U106+U109+U122+U126+U128+U130+U146+U147+U148</f>
        <v>55234.9</v>
      </c>
    </row>
    <row r="58" spans="1:29" s="111" customFormat="1" ht="22.5">
      <c r="A58" s="515" t="s">
        <v>736</v>
      </c>
      <c r="B58" s="515" t="s">
        <v>737</v>
      </c>
      <c r="C58" s="515" t="s">
        <v>883</v>
      </c>
      <c r="D58" s="515"/>
      <c r="E58" s="515"/>
      <c r="F58" s="529" t="s">
        <v>157</v>
      </c>
      <c r="G58" s="199" t="s">
        <v>110</v>
      </c>
      <c r="H58" s="201" t="s">
        <v>63</v>
      </c>
      <c r="I58" s="201" t="s">
        <v>886</v>
      </c>
      <c r="J58" s="201" t="s">
        <v>736</v>
      </c>
      <c r="K58" s="201" t="s">
        <v>160</v>
      </c>
      <c r="L58" s="225" t="s">
        <v>135</v>
      </c>
      <c r="M58" s="327"/>
      <c r="N58" s="327"/>
      <c r="O58" s="322"/>
      <c r="P58" s="322"/>
      <c r="Q58" s="322"/>
      <c r="R58" s="322"/>
      <c r="S58" s="322">
        <v>0</v>
      </c>
      <c r="T58" s="324"/>
      <c r="U58" s="324"/>
      <c r="V58" s="324"/>
      <c r="W58" s="324"/>
      <c r="X58" s="324"/>
      <c r="Y58" s="324"/>
      <c r="Z58" s="324"/>
      <c r="AA58" s="116">
        <v>327071</v>
      </c>
      <c r="AB58" s="113">
        <f>AA58-T59</f>
        <v>327071</v>
      </c>
      <c r="AC58" s="113">
        <f>AB58+T122+T71</f>
        <v>364538.8</v>
      </c>
    </row>
    <row r="59" spans="1:29" s="111" customFormat="1" ht="22.5">
      <c r="A59" s="516"/>
      <c r="B59" s="516"/>
      <c r="C59" s="516"/>
      <c r="D59" s="516"/>
      <c r="E59" s="516"/>
      <c r="F59" s="530"/>
      <c r="G59" s="199" t="s">
        <v>844</v>
      </c>
      <c r="H59" s="201" t="s">
        <v>67</v>
      </c>
      <c r="I59" s="201" t="s">
        <v>886</v>
      </c>
      <c r="J59" s="201" t="s">
        <v>736</v>
      </c>
      <c r="K59" s="201" t="s">
        <v>160</v>
      </c>
      <c r="L59" s="225" t="s">
        <v>135</v>
      </c>
      <c r="M59" s="327"/>
      <c r="N59" s="327"/>
      <c r="O59" s="322"/>
      <c r="P59" s="322"/>
      <c r="Q59" s="322"/>
      <c r="R59" s="322"/>
      <c r="S59" s="322"/>
      <c r="T59" s="322"/>
      <c r="U59" s="322"/>
      <c r="V59" s="322"/>
      <c r="W59" s="322"/>
      <c r="X59" s="322"/>
      <c r="Y59" s="322"/>
      <c r="Z59" s="322"/>
      <c r="AA59" s="116"/>
    </row>
    <row r="60" spans="1:29" s="111" customFormat="1" ht="11.25">
      <c r="A60" s="546" t="s">
        <v>736</v>
      </c>
      <c r="B60" s="546" t="s">
        <v>757</v>
      </c>
      <c r="C60" s="546"/>
      <c r="D60" s="546"/>
      <c r="E60" s="546"/>
      <c r="F60" s="549" t="s">
        <v>758</v>
      </c>
      <c r="G60" s="309" t="s">
        <v>109</v>
      </c>
      <c r="H60" s="310"/>
      <c r="I60" s="310"/>
      <c r="J60" s="310"/>
      <c r="K60" s="310"/>
      <c r="L60" s="311"/>
      <c r="M60" s="312">
        <f>M61</f>
        <v>232579</v>
      </c>
      <c r="N60" s="312">
        <f>N61</f>
        <v>232135.30000000002</v>
      </c>
      <c r="O60" s="312">
        <f>O61</f>
        <v>236432.8</v>
      </c>
      <c r="P60" s="312">
        <f>P61</f>
        <v>288844.80000000005</v>
      </c>
      <c r="Q60" s="312">
        <f>Q61+Q63</f>
        <v>525481.13099999994</v>
      </c>
      <c r="R60" s="312">
        <f>R61+R63</f>
        <v>442402.27800000005</v>
      </c>
      <c r="S60" s="312">
        <f>S61+S63</f>
        <v>356167.9</v>
      </c>
      <c r="T60" s="312">
        <f t="shared" ref="T60:Z60" si="10">T62+T63</f>
        <v>335877.50000000006</v>
      </c>
      <c r="U60" s="312">
        <f t="shared" si="10"/>
        <v>403393.29999999993</v>
      </c>
      <c r="V60" s="312">
        <f t="shared" si="10"/>
        <v>332397.56300000002</v>
      </c>
      <c r="W60" s="312">
        <f t="shared" si="10"/>
        <v>346133.10000000003</v>
      </c>
      <c r="X60" s="312">
        <f t="shared" si="10"/>
        <v>343480.10000000003</v>
      </c>
      <c r="Y60" s="312">
        <f t="shared" si="10"/>
        <v>361683.84570000001</v>
      </c>
      <c r="Z60" s="312">
        <f t="shared" si="10"/>
        <v>380852.38992209994</v>
      </c>
      <c r="AA60" s="112"/>
    </row>
    <row r="61" spans="1:29" s="111" customFormat="1" ht="101.25">
      <c r="A61" s="547"/>
      <c r="B61" s="547"/>
      <c r="C61" s="547"/>
      <c r="D61" s="547"/>
      <c r="E61" s="547"/>
      <c r="F61" s="550"/>
      <c r="G61" s="314" t="s">
        <v>161</v>
      </c>
      <c r="H61" s="317" t="s">
        <v>63</v>
      </c>
      <c r="I61" s="317" t="s">
        <v>886</v>
      </c>
      <c r="J61" s="317" t="s">
        <v>848</v>
      </c>
      <c r="K61" s="317" t="s">
        <v>162</v>
      </c>
      <c r="L61" s="318"/>
      <c r="M61" s="319">
        <f>M64</f>
        <v>232579</v>
      </c>
      <c r="N61" s="319">
        <f>N64+N80+N81+N106+N130+N140+N156</f>
        <v>232135.30000000002</v>
      </c>
      <c r="O61" s="319">
        <f>O64+O80+O81+O106+O130+O138+O140+O156</f>
        <v>236432.8</v>
      </c>
      <c r="P61" s="319">
        <f>P64+P80+P81+P106+P130+P138+P140+P156</f>
        <v>288844.80000000005</v>
      </c>
      <c r="Q61" s="319">
        <f>Q64+Q80+Q81+Q106+Q130+Q138+Q140+Q156+Q144+Q159+Q160+Q143+Q152-Q63</f>
        <v>405063.17499999993</v>
      </c>
      <c r="R61" s="319">
        <f>R64+R79+R81+R106+R132+R134+R136+R140</f>
        <v>291420.37800000003</v>
      </c>
      <c r="S61" s="319">
        <f>S64+S79+S81+S106+S130+S140+S160+S96</f>
        <v>325987.5</v>
      </c>
      <c r="T61" s="315"/>
      <c r="U61" s="320"/>
      <c r="V61" s="315"/>
      <c r="W61" s="315"/>
      <c r="X61" s="315"/>
      <c r="Y61" s="315"/>
      <c r="Z61" s="315"/>
      <c r="AA61" s="112"/>
      <c r="AB61" s="113" t="e">
        <f>AB62-'[3]6   (2)'!M32</f>
        <v>#REF!</v>
      </c>
    </row>
    <row r="62" spans="1:29" s="111" customFormat="1" ht="101.25">
      <c r="A62" s="547"/>
      <c r="B62" s="547"/>
      <c r="C62" s="547"/>
      <c r="D62" s="547"/>
      <c r="E62" s="547"/>
      <c r="F62" s="550"/>
      <c r="G62" s="314" t="s">
        <v>163</v>
      </c>
      <c r="H62" s="317" t="s">
        <v>67</v>
      </c>
      <c r="I62" s="317" t="s">
        <v>886</v>
      </c>
      <c r="J62" s="317" t="s">
        <v>848</v>
      </c>
      <c r="K62" s="317" t="s">
        <v>162</v>
      </c>
      <c r="L62" s="318"/>
      <c r="M62" s="319"/>
      <c r="N62" s="319"/>
      <c r="O62" s="319"/>
      <c r="P62" s="319"/>
      <c r="Q62" s="319"/>
      <c r="R62" s="319"/>
      <c r="S62" s="319"/>
      <c r="T62" s="319">
        <f>T65+T79+T82+T106+T133+T135+T137+T141</f>
        <v>329885.10000000003</v>
      </c>
      <c r="U62" s="319">
        <f>U65+U79+U82+U106+U133+U135+U137+U141</f>
        <v>368366.99999999994</v>
      </c>
      <c r="V62" s="319">
        <f>V65+V79+V82+V106+V133+V135+V137+V141+V339</f>
        <v>332397.56300000002</v>
      </c>
      <c r="W62" s="319">
        <f>W65+W79+W82+W106+W133+W135+W137+W141</f>
        <v>346133.10000000003</v>
      </c>
      <c r="X62" s="319">
        <f>X65+X79+X82+X106+X133+X135+X137+X141</f>
        <v>343480.10000000003</v>
      </c>
      <c r="Y62" s="319">
        <f>Y65+Y79+Y82+Y106+Y133+Y135+Y137+Y141</f>
        <v>361683.84570000001</v>
      </c>
      <c r="Z62" s="319">
        <f>Z65+Z79+Z82+Z106+Z133+Z135+Z137+Z141</f>
        <v>380852.38992209994</v>
      </c>
      <c r="AA62" s="112"/>
      <c r="AB62" s="113">
        <f>T68+T79+T80+T82+T84+T85+T99+T122+T126+T128+T130+T140+T147</f>
        <v>7241.3000000000011</v>
      </c>
    </row>
    <row r="63" spans="1:29" s="99" customFormat="1" ht="60" customHeight="1">
      <c r="A63" s="548"/>
      <c r="B63" s="548"/>
      <c r="C63" s="548"/>
      <c r="D63" s="548"/>
      <c r="E63" s="548"/>
      <c r="F63" s="551"/>
      <c r="G63" s="314" t="s">
        <v>113</v>
      </c>
      <c r="H63" s="317" t="s">
        <v>114</v>
      </c>
      <c r="I63" s="317"/>
      <c r="J63" s="317"/>
      <c r="K63" s="317"/>
      <c r="L63" s="318"/>
      <c r="M63" s="319"/>
      <c r="N63" s="319"/>
      <c r="O63" s="319"/>
      <c r="P63" s="319"/>
      <c r="Q63" s="319">
        <f>Q152+Q156+Q159</f>
        <v>120417.95600000001</v>
      </c>
      <c r="R63" s="319">
        <f>R152+R156+R159+R157+R158</f>
        <v>150981.90000000002</v>
      </c>
      <c r="S63" s="319">
        <f>S142+S161</f>
        <v>30180.400000000001</v>
      </c>
      <c r="T63" s="319">
        <f>T152+T156+T159+T88+T154+T162</f>
        <v>5992.4</v>
      </c>
      <c r="U63" s="319">
        <f t="shared" ref="U63:Z63" si="11">U152+U156+U159+U88+U154+U162+U153</f>
        <v>35026.300000000003</v>
      </c>
      <c r="V63" s="319">
        <f t="shared" si="11"/>
        <v>0</v>
      </c>
      <c r="W63" s="319">
        <f t="shared" si="11"/>
        <v>0</v>
      </c>
      <c r="X63" s="319">
        <f t="shared" si="11"/>
        <v>0</v>
      </c>
      <c r="Y63" s="319">
        <f t="shared" si="11"/>
        <v>0</v>
      </c>
      <c r="Z63" s="319">
        <f t="shared" si="11"/>
        <v>0</v>
      </c>
      <c r="AA63" s="114" t="s">
        <v>124</v>
      </c>
      <c r="AB63" s="105" t="e">
        <f>'[2]6  '!K34-'5 '!R63</f>
        <v>#REF!</v>
      </c>
      <c r="AC63" s="105" t="e">
        <f>S63-'[2]6  '!L34</f>
        <v>#REF!</v>
      </c>
    </row>
    <row r="64" spans="1:29" s="99" customFormat="1" ht="22.5">
      <c r="A64" s="562" t="s">
        <v>736</v>
      </c>
      <c r="B64" s="562" t="s">
        <v>757</v>
      </c>
      <c r="C64" s="562" t="s">
        <v>736</v>
      </c>
      <c r="D64" s="562"/>
      <c r="E64" s="562"/>
      <c r="F64" s="340" t="s">
        <v>930</v>
      </c>
      <c r="G64" s="314" t="s">
        <v>117</v>
      </c>
      <c r="H64" s="317" t="s">
        <v>63</v>
      </c>
      <c r="I64" s="317" t="s">
        <v>886</v>
      </c>
      <c r="J64" s="317" t="s">
        <v>848</v>
      </c>
      <c r="K64" s="317" t="s">
        <v>164</v>
      </c>
      <c r="L64" s="318"/>
      <c r="M64" s="312">
        <f>M108+M70+M132+M81+M136+M122+M134+M66+M80</f>
        <v>232579</v>
      </c>
      <c r="N64" s="312">
        <f>N66+N70</f>
        <v>189603.6</v>
      </c>
      <c r="O64" s="312">
        <f>O66+O70</f>
        <v>196191.5</v>
      </c>
      <c r="P64" s="312">
        <f>P66+P70</f>
        <v>223839.7</v>
      </c>
      <c r="Q64" s="312">
        <f>Q66+Q70+Q72</f>
        <v>244605.33199999999</v>
      </c>
      <c r="R64" s="312">
        <f>R66+R70+R68+R75+R78</f>
        <v>251354.64800000002</v>
      </c>
      <c r="S64" s="312">
        <f>S66+S68+S70+S75</f>
        <v>290739.79999999993</v>
      </c>
      <c r="T64" s="315"/>
      <c r="U64" s="315"/>
      <c r="V64" s="315"/>
      <c r="W64" s="315"/>
      <c r="X64" s="315"/>
      <c r="Y64" s="315"/>
      <c r="Z64" s="315"/>
      <c r="AA64" s="114"/>
    </row>
    <row r="65" spans="1:27" s="99" customFormat="1" ht="56.25" customHeight="1">
      <c r="A65" s="563"/>
      <c r="B65" s="563"/>
      <c r="C65" s="563"/>
      <c r="D65" s="563"/>
      <c r="E65" s="563"/>
      <c r="F65" s="341"/>
      <c r="G65" s="314" t="s">
        <v>844</v>
      </c>
      <c r="H65" s="317" t="s">
        <v>67</v>
      </c>
      <c r="I65" s="317" t="s">
        <v>886</v>
      </c>
      <c r="J65" s="317" t="s">
        <v>848</v>
      </c>
      <c r="K65" s="317" t="s">
        <v>164</v>
      </c>
      <c r="L65" s="318"/>
      <c r="M65" s="312"/>
      <c r="N65" s="312"/>
      <c r="O65" s="312"/>
      <c r="P65" s="312"/>
      <c r="Q65" s="312"/>
      <c r="R65" s="312"/>
      <c r="S65" s="312"/>
      <c r="T65" s="312">
        <f t="shared" ref="T65:Z65" si="12">T67+T71+T69+T76</f>
        <v>308938.2</v>
      </c>
      <c r="U65" s="312">
        <f t="shared" si="12"/>
        <v>339280</v>
      </c>
      <c r="V65" s="312">
        <f t="shared" si="12"/>
        <v>312654.64300000004</v>
      </c>
      <c r="W65" s="312">
        <f t="shared" si="12"/>
        <v>332167.00000000006</v>
      </c>
      <c r="X65" s="312">
        <f t="shared" si="12"/>
        <v>331300.7</v>
      </c>
      <c r="Y65" s="312">
        <f t="shared" si="12"/>
        <v>348859.63709999999</v>
      </c>
      <c r="Z65" s="312">
        <f t="shared" si="12"/>
        <v>367349.19786629995</v>
      </c>
      <c r="AA65" s="114" t="s">
        <v>169</v>
      </c>
    </row>
    <row r="66" spans="1:27" s="99" customFormat="1" ht="60" customHeight="1">
      <c r="A66" s="515" t="s">
        <v>736</v>
      </c>
      <c r="B66" s="515" t="s">
        <v>757</v>
      </c>
      <c r="C66" s="515" t="s">
        <v>736</v>
      </c>
      <c r="D66" s="515" t="s">
        <v>737</v>
      </c>
      <c r="E66" s="515" t="s">
        <v>780</v>
      </c>
      <c r="F66" s="575" t="s">
        <v>935</v>
      </c>
      <c r="G66" s="199" t="s">
        <v>117</v>
      </c>
      <c r="H66" s="321" t="s">
        <v>63</v>
      </c>
      <c r="I66" s="321" t="s">
        <v>886</v>
      </c>
      <c r="J66" s="321" t="s">
        <v>848</v>
      </c>
      <c r="K66" s="321" t="s">
        <v>165</v>
      </c>
      <c r="L66" s="225" t="s">
        <v>166</v>
      </c>
      <c r="M66" s="322">
        <v>162578.6</v>
      </c>
      <c r="N66" s="322">
        <v>169492.4</v>
      </c>
      <c r="O66" s="322">
        <v>171882.2</v>
      </c>
      <c r="P66" s="322">
        <v>196632.2</v>
      </c>
      <c r="Q66" s="322">
        <v>215731.19</v>
      </c>
      <c r="R66" s="322">
        <v>219203.1</v>
      </c>
      <c r="S66" s="322">
        <v>239548.9</v>
      </c>
      <c r="T66" s="324"/>
      <c r="U66" s="324"/>
      <c r="V66" s="324"/>
      <c r="W66" s="324"/>
      <c r="X66" s="324"/>
      <c r="Y66" s="324"/>
      <c r="Z66" s="324"/>
      <c r="AA66" s="114"/>
    </row>
    <row r="67" spans="1:27" s="99" customFormat="1" ht="57" customHeight="1">
      <c r="A67" s="516"/>
      <c r="B67" s="516"/>
      <c r="C67" s="516"/>
      <c r="D67" s="516"/>
      <c r="E67" s="516"/>
      <c r="F67" s="576"/>
      <c r="G67" s="199" t="s">
        <v>844</v>
      </c>
      <c r="H67" s="321" t="s">
        <v>67</v>
      </c>
      <c r="I67" s="321" t="s">
        <v>886</v>
      </c>
      <c r="J67" s="321" t="s">
        <v>848</v>
      </c>
      <c r="K67" s="321" t="s">
        <v>165</v>
      </c>
      <c r="L67" s="225" t="s">
        <v>166</v>
      </c>
      <c r="M67" s="322"/>
      <c r="N67" s="322"/>
      <c r="O67" s="322"/>
      <c r="P67" s="322"/>
      <c r="Q67" s="322"/>
      <c r="R67" s="322"/>
      <c r="S67" s="322"/>
      <c r="T67" s="322">
        <v>253282.2</v>
      </c>
      <c r="U67" s="322">
        <v>281699.90000000002</v>
      </c>
      <c r="V67" s="326">
        <f>10015.8+19.8+3157.5+50+10732.7+17.2+3497.4+63.5+5802.7+11.3+1966.9+1.4+8.4+3.4+270788.4</f>
        <v>306136.40000000002</v>
      </c>
      <c r="W67" s="322">
        <v>277766.90000000002</v>
      </c>
      <c r="X67" s="322">
        <v>277107.90000000002</v>
      </c>
      <c r="Y67" s="322">
        <f>X67*1.053</f>
        <v>291794.61869999999</v>
      </c>
      <c r="Z67" s="322">
        <f>Y67*1.053</f>
        <v>307259.73349109996</v>
      </c>
      <c r="AA67" s="114" t="s">
        <v>127</v>
      </c>
    </row>
    <row r="68" spans="1:27" s="99" customFormat="1" ht="57" customHeight="1">
      <c r="A68" s="515" t="s">
        <v>736</v>
      </c>
      <c r="B68" s="515" t="s">
        <v>757</v>
      </c>
      <c r="C68" s="515" t="s">
        <v>736</v>
      </c>
      <c r="D68" s="515" t="s">
        <v>737</v>
      </c>
      <c r="E68" s="515" t="s">
        <v>803</v>
      </c>
      <c r="F68" s="529" t="s">
        <v>775</v>
      </c>
      <c r="G68" s="199" t="s">
        <v>117</v>
      </c>
      <c r="H68" s="321" t="s">
        <v>63</v>
      </c>
      <c r="I68" s="321" t="s">
        <v>886</v>
      </c>
      <c r="J68" s="321" t="s">
        <v>848</v>
      </c>
      <c r="K68" s="321" t="s">
        <v>167</v>
      </c>
      <c r="L68" s="225" t="s">
        <v>168</v>
      </c>
      <c r="M68" s="322"/>
      <c r="N68" s="322"/>
      <c r="O68" s="322"/>
      <c r="P68" s="322"/>
      <c r="Q68" s="322"/>
      <c r="R68" s="322">
        <v>5755.1949999999997</v>
      </c>
      <c r="S68" s="322">
        <v>17433.8</v>
      </c>
      <c r="T68" s="324"/>
      <c r="U68" s="324"/>
      <c r="V68" s="324"/>
      <c r="W68" s="324"/>
      <c r="X68" s="324"/>
      <c r="Y68" s="324"/>
      <c r="Z68" s="324"/>
      <c r="AA68" s="114"/>
    </row>
    <row r="69" spans="1:27" s="99" customFormat="1" ht="56.25">
      <c r="A69" s="516"/>
      <c r="B69" s="516"/>
      <c r="C69" s="516"/>
      <c r="D69" s="516"/>
      <c r="E69" s="516"/>
      <c r="F69" s="530"/>
      <c r="G69" s="199" t="s">
        <v>844</v>
      </c>
      <c r="H69" s="321" t="s">
        <v>67</v>
      </c>
      <c r="I69" s="321" t="s">
        <v>886</v>
      </c>
      <c r="J69" s="321" t="s">
        <v>848</v>
      </c>
      <c r="K69" s="321" t="s">
        <v>167</v>
      </c>
      <c r="L69" s="225" t="s">
        <v>168</v>
      </c>
      <c r="M69" s="322"/>
      <c r="N69" s="322"/>
      <c r="O69" s="322"/>
      <c r="P69" s="322"/>
      <c r="Q69" s="322"/>
      <c r="R69" s="322"/>
      <c r="S69" s="322"/>
      <c r="T69" s="322">
        <v>17416.5</v>
      </c>
      <c r="U69" s="322">
        <v>17215.599999999999</v>
      </c>
      <c r="V69" s="326">
        <v>0</v>
      </c>
      <c r="W69" s="322">
        <v>16594.400000000001</v>
      </c>
      <c r="X69" s="322">
        <v>16387.099999999999</v>
      </c>
      <c r="Y69" s="322">
        <f>X69*1.053</f>
        <v>17255.616299999998</v>
      </c>
      <c r="Z69" s="322">
        <f>Y69*1.053</f>
        <v>18170.163963899995</v>
      </c>
      <c r="AA69" s="114"/>
    </row>
    <row r="70" spans="1:27" s="99" customFormat="1" ht="39.75" customHeight="1">
      <c r="A70" s="515" t="s">
        <v>736</v>
      </c>
      <c r="B70" s="515" t="s">
        <v>757</v>
      </c>
      <c r="C70" s="515" t="s">
        <v>736</v>
      </c>
      <c r="D70" s="515" t="s">
        <v>757</v>
      </c>
      <c r="E70" s="515" t="s">
        <v>737</v>
      </c>
      <c r="F70" s="529" t="s">
        <v>170</v>
      </c>
      <c r="G70" s="199" t="s">
        <v>117</v>
      </c>
      <c r="H70" s="321" t="s">
        <v>63</v>
      </c>
      <c r="I70" s="201" t="s">
        <v>171</v>
      </c>
      <c r="J70" s="201" t="s">
        <v>172</v>
      </c>
      <c r="K70" s="201" t="s">
        <v>173</v>
      </c>
      <c r="L70" s="225" t="s">
        <v>174</v>
      </c>
      <c r="M70" s="322">
        <v>40097.199999999997</v>
      </c>
      <c r="N70" s="322">
        <v>20111.2</v>
      </c>
      <c r="O70" s="322">
        <v>24309.3</v>
      </c>
      <c r="P70" s="322">
        <v>27207.5</v>
      </c>
      <c r="Q70" s="322">
        <v>28262.526999999998</v>
      </c>
      <c r="R70" s="322">
        <v>25907.659</v>
      </c>
      <c r="S70" s="322">
        <v>33149</v>
      </c>
      <c r="T70" s="324"/>
      <c r="U70" s="324"/>
      <c r="V70" s="324"/>
      <c r="W70" s="324"/>
      <c r="X70" s="324"/>
      <c r="Y70" s="324"/>
      <c r="Z70" s="324"/>
      <c r="AA70" s="114" t="s">
        <v>178</v>
      </c>
    </row>
    <row r="71" spans="1:27" s="99" customFormat="1" ht="56.25">
      <c r="A71" s="516"/>
      <c r="B71" s="516"/>
      <c r="C71" s="516"/>
      <c r="D71" s="516"/>
      <c r="E71" s="516"/>
      <c r="F71" s="530"/>
      <c r="G71" s="199" t="s">
        <v>844</v>
      </c>
      <c r="H71" s="321" t="s">
        <v>67</v>
      </c>
      <c r="I71" s="201" t="s">
        <v>171</v>
      </c>
      <c r="J71" s="201" t="s">
        <v>172</v>
      </c>
      <c r="K71" s="201" t="s">
        <v>173</v>
      </c>
      <c r="L71" s="225" t="s">
        <v>174</v>
      </c>
      <c r="M71" s="322"/>
      <c r="N71" s="322"/>
      <c r="O71" s="322"/>
      <c r="P71" s="322"/>
      <c r="Q71" s="322"/>
      <c r="R71" s="322"/>
      <c r="S71" s="322"/>
      <c r="T71" s="322">
        <v>37467.800000000003</v>
      </c>
      <c r="U71" s="322">
        <v>39587.599999999999</v>
      </c>
      <c r="V71" s="326">
        <f>7.7+25+14+36.2+37.8+20.9+10+10.7+130.943+2242+4.3+7.7+29.6+51.6+36.2+59+31+13.1+10.5+89.6+123.4+3.1+1589.9+4.3+4.3+5.6+15.1+45+60.6+11+10.5+20+4.2+24.6+106+1.3+633.5+4.3</f>
        <v>5534.5430000000015</v>
      </c>
      <c r="W71" s="322">
        <v>37805.699999999997</v>
      </c>
      <c r="X71" s="322">
        <v>37805.699999999997</v>
      </c>
      <c r="Y71" s="322">
        <f>X71*1.053</f>
        <v>39809.402099999992</v>
      </c>
      <c r="Z71" s="322">
        <f>Y71*1.053</f>
        <v>41919.300411299992</v>
      </c>
      <c r="AA71" s="114"/>
    </row>
    <row r="72" spans="1:27" s="99" customFormat="1" ht="75" customHeight="1">
      <c r="A72" s="209" t="s">
        <v>736</v>
      </c>
      <c r="B72" s="209" t="s">
        <v>757</v>
      </c>
      <c r="C72" s="209" t="s">
        <v>736</v>
      </c>
      <c r="D72" s="209"/>
      <c r="E72" s="209"/>
      <c r="F72" s="199" t="s">
        <v>934</v>
      </c>
      <c r="G72" s="199" t="s">
        <v>117</v>
      </c>
      <c r="H72" s="321" t="s">
        <v>63</v>
      </c>
      <c r="I72" s="201" t="s">
        <v>886</v>
      </c>
      <c r="J72" s="201" t="s">
        <v>848</v>
      </c>
      <c r="K72" s="201" t="s">
        <v>175</v>
      </c>
      <c r="L72" s="225" t="s">
        <v>176</v>
      </c>
      <c r="M72" s="322"/>
      <c r="N72" s="322"/>
      <c r="O72" s="322"/>
      <c r="P72" s="322"/>
      <c r="Q72" s="322">
        <v>611.61500000000001</v>
      </c>
      <c r="R72" s="322"/>
      <c r="S72" s="322"/>
      <c r="T72" s="322"/>
      <c r="U72" s="322"/>
      <c r="V72" s="322"/>
      <c r="W72" s="322"/>
      <c r="X72" s="322"/>
      <c r="Y72" s="322"/>
      <c r="Z72" s="322"/>
      <c r="AA72" s="114"/>
    </row>
    <row r="73" spans="1:27" s="111" customFormat="1" ht="45">
      <c r="A73" s="237" t="s">
        <v>736</v>
      </c>
      <c r="B73" s="237" t="s">
        <v>757</v>
      </c>
      <c r="C73" s="237" t="s">
        <v>736</v>
      </c>
      <c r="D73" s="237" t="s">
        <v>978</v>
      </c>
      <c r="E73" s="237" t="s">
        <v>780</v>
      </c>
      <c r="F73" s="342" t="s">
        <v>969</v>
      </c>
      <c r="G73" s="199" t="s">
        <v>117</v>
      </c>
      <c r="H73" s="343" t="s">
        <v>67</v>
      </c>
      <c r="I73" s="272" t="s">
        <v>886</v>
      </c>
      <c r="J73" s="272" t="s">
        <v>848</v>
      </c>
      <c r="K73" s="272" t="s">
        <v>979</v>
      </c>
      <c r="L73" s="344" t="s">
        <v>135</v>
      </c>
      <c r="M73" s="322"/>
      <c r="N73" s="322"/>
      <c r="O73" s="322"/>
      <c r="P73" s="322"/>
      <c r="Q73" s="322"/>
      <c r="R73" s="322"/>
      <c r="S73" s="322"/>
      <c r="T73" s="322"/>
      <c r="U73" s="322"/>
      <c r="V73" s="322">
        <f>1013.4+305.2+1063.4+320.4+513.4+154.7</f>
        <v>3370.5</v>
      </c>
      <c r="W73" s="322"/>
      <c r="X73" s="322"/>
      <c r="Y73" s="322"/>
      <c r="Z73" s="322"/>
      <c r="AA73" s="112"/>
    </row>
    <row r="74" spans="1:27" s="99" customFormat="1" ht="11.25">
      <c r="A74" s="209"/>
      <c r="B74" s="209"/>
      <c r="C74" s="209"/>
      <c r="D74" s="209"/>
      <c r="E74" s="209"/>
      <c r="F74" s="199"/>
      <c r="G74" s="199"/>
      <c r="H74" s="321"/>
      <c r="I74" s="201"/>
      <c r="J74" s="201"/>
      <c r="K74" s="201"/>
      <c r="L74" s="225"/>
      <c r="M74" s="322"/>
      <c r="N74" s="322"/>
      <c r="O74" s="322"/>
      <c r="P74" s="322"/>
      <c r="Q74" s="322"/>
      <c r="R74" s="322"/>
      <c r="S74" s="322"/>
      <c r="T74" s="322"/>
      <c r="U74" s="322"/>
      <c r="V74" s="322"/>
      <c r="W74" s="322"/>
      <c r="X74" s="322"/>
      <c r="Y74" s="322"/>
      <c r="Z74" s="322"/>
      <c r="AA74" s="114" t="s">
        <v>182</v>
      </c>
    </row>
    <row r="75" spans="1:27" s="111" customFormat="1" ht="33.75">
      <c r="A75" s="515" t="s">
        <v>736</v>
      </c>
      <c r="B75" s="515" t="s">
        <v>757</v>
      </c>
      <c r="C75" s="515" t="s">
        <v>736</v>
      </c>
      <c r="D75" s="515"/>
      <c r="E75" s="515"/>
      <c r="F75" s="557" t="s">
        <v>934</v>
      </c>
      <c r="G75" s="199" t="s">
        <v>117</v>
      </c>
      <c r="H75" s="321" t="s">
        <v>63</v>
      </c>
      <c r="I75" s="201" t="s">
        <v>886</v>
      </c>
      <c r="J75" s="201" t="s">
        <v>904</v>
      </c>
      <c r="K75" s="201" t="s">
        <v>175</v>
      </c>
      <c r="L75" s="225" t="s">
        <v>177</v>
      </c>
      <c r="M75" s="322"/>
      <c r="N75" s="322"/>
      <c r="O75" s="322"/>
      <c r="P75" s="322"/>
      <c r="Q75" s="322"/>
      <c r="R75" s="322">
        <v>346.9</v>
      </c>
      <c r="S75" s="322">
        <v>608.1</v>
      </c>
      <c r="T75" s="322"/>
      <c r="U75" s="322"/>
      <c r="V75" s="322"/>
      <c r="W75" s="322"/>
      <c r="X75" s="322"/>
      <c r="Y75" s="322"/>
      <c r="Z75" s="322"/>
      <c r="AA75" s="112"/>
    </row>
    <row r="76" spans="1:27" s="111" customFormat="1" ht="33.75">
      <c r="A76" s="516"/>
      <c r="B76" s="516"/>
      <c r="C76" s="516"/>
      <c r="D76" s="516"/>
      <c r="E76" s="516"/>
      <c r="F76" s="559"/>
      <c r="G76" s="199" t="s">
        <v>117</v>
      </c>
      <c r="H76" s="321" t="s">
        <v>67</v>
      </c>
      <c r="I76" s="201" t="s">
        <v>886</v>
      </c>
      <c r="J76" s="201" t="s">
        <v>904</v>
      </c>
      <c r="K76" s="201" t="s">
        <v>175</v>
      </c>
      <c r="L76" s="225" t="s">
        <v>177</v>
      </c>
      <c r="M76" s="322"/>
      <c r="N76" s="322"/>
      <c r="O76" s="322"/>
      <c r="P76" s="322"/>
      <c r="Q76" s="322"/>
      <c r="R76" s="322"/>
      <c r="S76" s="322"/>
      <c r="T76" s="322">
        <v>771.7</v>
      </c>
      <c r="U76" s="322">
        <v>776.9</v>
      </c>
      <c r="V76" s="322">
        <v>983.7</v>
      </c>
      <c r="W76" s="322"/>
      <c r="X76" s="322"/>
      <c r="Y76" s="322"/>
      <c r="Z76" s="322"/>
      <c r="AA76" s="112"/>
    </row>
    <row r="77" spans="1:27" s="99" customFormat="1" ht="11.25">
      <c r="A77" s="237"/>
      <c r="B77" s="237"/>
      <c r="C77" s="237"/>
      <c r="D77" s="237"/>
      <c r="E77" s="237"/>
      <c r="F77" s="342"/>
      <c r="G77" s="199"/>
      <c r="H77" s="343"/>
      <c r="I77" s="201"/>
      <c r="J77" s="201"/>
      <c r="K77" s="201"/>
      <c r="L77" s="225"/>
      <c r="M77" s="322"/>
      <c r="N77" s="322"/>
      <c r="O77" s="322"/>
      <c r="P77" s="322"/>
      <c r="Q77" s="322"/>
      <c r="R77" s="322"/>
      <c r="S77" s="322"/>
      <c r="T77" s="322"/>
      <c r="U77" s="322"/>
      <c r="V77" s="322"/>
      <c r="W77" s="322"/>
      <c r="X77" s="322"/>
      <c r="Y77" s="322"/>
      <c r="Z77" s="322"/>
      <c r="AA77" s="114"/>
    </row>
    <row r="78" spans="1:27" s="99" customFormat="1" ht="78.75" customHeight="1">
      <c r="A78" s="209" t="s">
        <v>736</v>
      </c>
      <c r="B78" s="209" t="s">
        <v>757</v>
      </c>
      <c r="C78" s="209" t="s">
        <v>736</v>
      </c>
      <c r="D78" s="209" t="s">
        <v>933</v>
      </c>
      <c r="E78" s="209"/>
      <c r="F78" s="199" t="s">
        <v>934</v>
      </c>
      <c r="G78" s="199" t="s">
        <v>117</v>
      </c>
      <c r="H78" s="321" t="s">
        <v>63</v>
      </c>
      <c r="I78" s="201" t="s">
        <v>886</v>
      </c>
      <c r="J78" s="201" t="s">
        <v>904</v>
      </c>
      <c r="K78" s="201" t="s">
        <v>179</v>
      </c>
      <c r="L78" s="225" t="s">
        <v>177</v>
      </c>
      <c r="M78" s="322"/>
      <c r="N78" s="322"/>
      <c r="O78" s="322"/>
      <c r="P78" s="322"/>
      <c r="Q78" s="322"/>
      <c r="R78" s="322">
        <v>141.79400000000001</v>
      </c>
      <c r="S78" s="322"/>
      <c r="T78" s="322"/>
      <c r="U78" s="322"/>
      <c r="V78" s="322"/>
      <c r="W78" s="322"/>
      <c r="X78" s="322"/>
      <c r="Y78" s="322"/>
      <c r="Z78" s="322"/>
      <c r="AA78" s="114"/>
    </row>
    <row r="79" spans="1:27" s="99" customFormat="1" ht="22.5">
      <c r="A79" s="318" t="s">
        <v>736</v>
      </c>
      <c r="B79" s="318" t="s">
        <v>757</v>
      </c>
      <c r="C79" s="318" t="s">
        <v>848</v>
      </c>
      <c r="D79" s="318"/>
      <c r="E79" s="318"/>
      <c r="F79" s="345" t="s">
        <v>943</v>
      </c>
      <c r="G79" s="314" t="s">
        <v>117</v>
      </c>
      <c r="H79" s="317"/>
      <c r="I79" s="328"/>
      <c r="J79" s="328"/>
      <c r="K79" s="328"/>
      <c r="L79" s="329"/>
      <c r="M79" s="312">
        <f t="shared" ref="M79:Z79" si="13">M80</f>
        <v>28742.9</v>
      </c>
      <c r="N79" s="312">
        <f t="shared" si="13"/>
        <v>27842.7</v>
      </c>
      <c r="O79" s="312">
        <f t="shared" si="13"/>
        <v>27257.1</v>
      </c>
      <c r="P79" s="312">
        <f t="shared" si="13"/>
        <v>29824.6</v>
      </c>
      <c r="Q79" s="312">
        <f t="shared" si="13"/>
        <v>30232.3</v>
      </c>
      <c r="R79" s="312">
        <f t="shared" si="13"/>
        <v>16363.8</v>
      </c>
      <c r="S79" s="323">
        <f t="shared" si="13"/>
        <v>0</v>
      </c>
      <c r="T79" s="312">
        <f t="shared" si="13"/>
        <v>0</v>
      </c>
      <c r="U79" s="312">
        <f t="shared" si="13"/>
        <v>0</v>
      </c>
      <c r="V79" s="312">
        <f t="shared" si="13"/>
        <v>0</v>
      </c>
      <c r="W79" s="312">
        <f t="shared" si="13"/>
        <v>0</v>
      </c>
      <c r="X79" s="312">
        <f t="shared" si="13"/>
        <v>0</v>
      </c>
      <c r="Y79" s="312">
        <f t="shared" si="13"/>
        <v>0</v>
      </c>
      <c r="Z79" s="312">
        <f t="shared" si="13"/>
        <v>0</v>
      </c>
      <c r="AA79" s="114"/>
    </row>
    <row r="80" spans="1:27" s="99" customFormat="1" ht="78.75" customHeight="1">
      <c r="A80" s="209" t="s">
        <v>736</v>
      </c>
      <c r="B80" s="209" t="s">
        <v>757</v>
      </c>
      <c r="C80" s="209" t="s">
        <v>848</v>
      </c>
      <c r="D80" s="209" t="s">
        <v>737</v>
      </c>
      <c r="E80" s="209" t="s">
        <v>780</v>
      </c>
      <c r="F80" s="346" t="s">
        <v>945</v>
      </c>
      <c r="G80" s="199" t="s">
        <v>117</v>
      </c>
      <c r="H80" s="321" t="s">
        <v>63</v>
      </c>
      <c r="I80" s="321" t="s">
        <v>886</v>
      </c>
      <c r="J80" s="321" t="s">
        <v>848</v>
      </c>
      <c r="K80" s="321" t="s">
        <v>180</v>
      </c>
      <c r="L80" s="225" t="s">
        <v>181</v>
      </c>
      <c r="M80" s="322">
        <v>28742.9</v>
      </c>
      <c r="N80" s="322">
        <f>27822.7+20</f>
        <v>27842.7</v>
      </c>
      <c r="O80" s="322">
        <v>27257.1</v>
      </c>
      <c r="P80" s="322">
        <v>29824.6</v>
      </c>
      <c r="Q80" s="322">
        <v>30232.3</v>
      </c>
      <c r="R80" s="322">
        <v>16363.8</v>
      </c>
      <c r="S80" s="322"/>
      <c r="T80" s="322"/>
      <c r="U80" s="322"/>
      <c r="V80" s="322"/>
      <c r="W80" s="322"/>
      <c r="X80" s="322"/>
      <c r="Y80" s="322"/>
      <c r="Z80" s="322"/>
      <c r="AA80" s="114"/>
    </row>
    <row r="81" spans="1:27" s="99" customFormat="1" ht="22.5">
      <c r="A81" s="562" t="s">
        <v>736</v>
      </c>
      <c r="B81" s="562" t="s">
        <v>757</v>
      </c>
      <c r="C81" s="562" t="s">
        <v>859</v>
      </c>
      <c r="D81" s="562"/>
      <c r="E81" s="562"/>
      <c r="F81" s="577" t="s">
        <v>183</v>
      </c>
      <c r="G81" s="314" t="s">
        <v>117</v>
      </c>
      <c r="H81" s="317" t="s">
        <v>63</v>
      </c>
      <c r="I81" s="328" t="s">
        <v>886</v>
      </c>
      <c r="J81" s="328" t="s">
        <v>848</v>
      </c>
      <c r="K81" s="328" t="s">
        <v>184</v>
      </c>
      <c r="L81" s="329"/>
      <c r="M81" s="319"/>
      <c r="N81" s="312">
        <f>N83+N84+N92+N93+N98+N94+N89</f>
        <v>2285.1999999999998</v>
      </c>
      <c r="O81" s="312">
        <f>O83+O84+O92+O93+O98+O94+O89</f>
        <v>2812.4</v>
      </c>
      <c r="P81" s="312">
        <f>P83+P84+P92+P93+P98+P95+P96</f>
        <v>1747</v>
      </c>
      <c r="Q81" s="312">
        <f>Q83+Q84+Q92+Q93+Q98+Q95+Q96+Q89</f>
        <v>2072.3379999999997</v>
      </c>
      <c r="R81" s="312">
        <f>R83+R84+R92+R93+R98+R95+R96+R103</f>
        <v>4279.9290000000001</v>
      </c>
      <c r="S81" s="323">
        <f>S84+S98+S99+S100</f>
        <v>4272.7</v>
      </c>
      <c r="T81" s="315"/>
      <c r="U81" s="315"/>
      <c r="V81" s="315"/>
      <c r="W81" s="315"/>
      <c r="X81" s="315"/>
      <c r="Y81" s="315"/>
      <c r="Z81" s="315"/>
      <c r="AA81" s="114"/>
    </row>
    <row r="82" spans="1:27" s="99" customFormat="1" ht="22.5">
      <c r="A82" s="563"/>
      <c r="B82" s="563"/>
      <c r="C82" s="563"/>
      <c r="D82" s="563"/>
      <c r="E82" s="563"/>
      <c r="F82" s="578"/>
      <c r="G82" s="314" t="s">
        <v>893</v>
      </c>
      <c r="H82" s="317" t="s">
        <v>67</v>
      </c>
      <c r="I82" s="328" t="s">
        <v>886</v>
      </c>
      <c r="J82" s="328" t="s">
        <v>848</v>
      </c>
      <c r="K82" s="328" t="s">
        <v>184</v>
      </c>
      <c r="L82" s="329"/>
      <c r="M82" s="319"/>
      <c r="N82" s="312"/>
      <c r="O82" s="312"/>
      <c r="P82" s="312"/>
      <c r="Q82" s="312"/>
      <c r="R82" s="312"/>
      <c r="S82" s="323"/>
      <c r="T82" s="312">
        <f>T85+T105+T86+T90+T91+T87+T104+T97+T101</f>
        <v>6692.5000000000009</v>
      </c>
      <c r="U82" s="312">
        <f t="shared" ref="U82:Z82" si="14">U85+U105+U86+U90+U91+U87+U104+U97+U101+U102</f>
        <v>4484.8</v>
      </c>
      <c r="V82" s="312">
        <f t="shared" si="14"/>
        <v>3960.4999999999995</v>
      </c>
      <c r="W82" s="312">
        <f t="shared" si="14"/>
        <v>9</v>
      </c>
      <c r="X82" s="312">
        <f t="shared" si="14"/>
        <v>9</v>
      </c>
      <c r="Y82" s="312">
        <f t="shared" si="14"/>
        <v>9</v>
      </c>
      <c r="Z82" s="312">
        <f t="shared" si="14"/>
        <v>9</v>
      </c>
      <c r="AA82" s="114"/>
    </row>
    <row r="83" spans="1:27" s="99" customFormat="1" ht="78.75" customHeight="1">
      <c r="A83" s="209" t="s">
        <v>736</v>
      </c>
      <c r="B83" s="209" t="s">
        <v>757</v>
      </c>
      <c r="C83" s="209" t="s">
        <v>859</v>
      </c>
      <c r="D83" s="209" t="s">
        <v>737</v>
      </c>
      <c r="E83" s="209" t="s">
        <v>737</v>
      </c>
      <c r="F83" s="199" t="s">
        <v>142</v>
      </c>
      <c r="G83" s="199" t="s">
        <v>117</v>
      </c>
      <c r="H83" s="321" t="s">
        <v>63</v>
      </c>
      <c r="I83" s="201"/>
      <c r="J83" s="201"/>
      <c r="K83" s="201"/>
      <c r="L83" s="225"/>
      <c r="M83" s="322"/>
      <c r="N83" s="322"/>
      <c r="O83" s="322"/>
      <c r="P83" s="322"/>
      <c r="Q83" s="322"/>
      <c r="R83" s="322"/>
      <c r="S83" s="322"/>
      <c r="T83" s="322"/>
      <c r="U83" s="322"/>
      <c r="V83" s="322"/>
      <c r="W83" s="322"/>
      <c r="X83" s="322"/>
      <c r="Y83" s="322"/>
      <c r="Z83" s="322"/>
      <c r="AA83" s="114"/>
    </row>
    <row r="84" spans="1:27" s="99" customFormat="1" ht="22.5">
      <c r="A84" s="515" t="s">
        <v>736</v>
      </c>
      <c r="B84" s="515" t="s">
        <v>757</v>
      </c>
      <c r="C84" s="515" t="s">
        <v>859</v>
      </c>
      <c r="D84" s="515" t="s">
        <v>737</v>
      </c>
      <c r="E84" s="515" t="s">
        <v>757</v>
      </c>
      <c r="F84" s="529" t="s">
        <v>142</v>
      </c>
      <c r="G84" s="199" t="s">
        <v>117</v>
      </c>
      <c r="H84" s="321" t="s">
        <v>63</v>
      </c>
      <c r="I84" s="201" t="s">
        <v>886</v>
      </c>
      <c r="J84" s="201" t="s">
        <v>848</v>
      </c>
      <c r="K84" s="201" t="s">
        <v>185</v>
      </c>
      <c r="L84" s="225" t="s">
        <v>186</v>
      </c>
      <c r="M84" s="322"/>
      <c r="N84" s="322">
        <v>549.9</v>
      </c>
      <c r="O84" s="322">
        <v>1000.1</v>
      </c>
      <c r="P84" s="322">
        <v>147.30000000000001</v>
      </c>
      <c r="Q84" s="322">
        <v>462.06299999999999</v>
      </c>
      <c r="R84" s="322">
        <v>1971.145</v>
      </c>
      <c r="S84" s="322">
        <v>3112.7</v>
      </c>
      <c r="T84" s="324"/>
      <c r="U84" s="324"/>
      <c r="V84" s="324"/>
      <c r="W84" s="324"/>
      <c r="X84" s="324"/>
      <c r="Y84" s="324"/>
      <c r="Z84" s="324"/>
      <c r="AA84" s="114"/>
    </row>
    <row r="85" spans="1:27" s="99" customFormat="1" ht="22.5">
      <c r="A85" s="516"/>
      <c r="B85" s="516"/>
      <c r="C85" s="516"/>
      <c r="D85" s="516"/>
      <c r="E85" s="516"/>
      <c r="F85" s="530"/>
      <c r="G85" s="199" t="s">
        <v>844</v>
      </c>
      <c r="H85" s="321" t="s">
        <v>67</v>
      </c>
      <c r="I85" s="201" t="s">
        <v>886</v>
      </c>
      <c r="J85" s="201" t="s">
        <v>848</v>
      </c>
      <c r="K85" s="201" t="s">
        <v>185</v>
      </c>
      <c r="L85" s="225" t="s">
        <v>186</v>
      </c>
      <c r="M85" s="322"/>
      <c r="N85" s="322"/>
      <c r="O85" s="322"/>
      <c r="P85" s="322"/>
      <c r="Q85" s="322"/>
      <c r="R85" s="322"/>
      <c r="S85" s="322"/>
      <c r="T85" s="322">
        <v>548.79999999999995</v>
      </c>
      <c r="U85" s="322">
        <v>1114.4000000000001</v>
      </c>
      <c r="V85" s="326">
        <f>999.4</f>
        <v>999.4</v>
      </c>
      <c r="W85" s="322">
        <v>0</v>
      </c>
      <c r="X85" s="322">
        <v>0</v>
      </c>
      <c r="Y85" s="322">
        <f>X85*1.053</f>
        <v>0</v>
      </c>
      <c r="Z85" s="322">
        <f>Y85*1.053</f>
        <v>0</v>
      </c>
      <c r="AA85" s="114"/>
    </row>
    <row r="86" spans="1:27" s="99" customFormat="1" ht="21.75" customHeight="1">
      <c r="A86" s="209" t="s">
        <v>736</v>
      </c>
      <c r="B86" s="209" t="s">
        <v>757</v>
      </c>
      <c r="C86" s="209" t="s">
        <v>859</v>
      </c>
      <c r="D86" s="209"/>
      <c r="E86" s="209"/>
      <c r="F86" s="199" t="s">
        <v>187</v>
      </c>
      <c r="G86" s="199" t="s">
        <v>117</v>
      </c>
      <c r="H86" s="321" t="s">
        <v>67</v>
      </c>
      <c r="I86" s="201" t="s">
        <v>886</v>
      </c>
      <c r="J86" s="201" t="s">
        <v>848</v>
      </c>
      <c r="K86" s="201" t="s">
        <v>188</v>
      </c>
      <c r="L86" s="225" t="s">
        <v>186</v>
      </c>
      <c r="M86" s="322"/>
      <c r="N86" s="322">
        <v>549.9</v>
      </c>
      <c r="O86" s="322">
        <v>1000.1</v>
      </c>
      <c r="P86" s="322">
        <v>147.30000000000001</v>
      </c>
      <c r="Q86" s="322">
        <v>462.06299999999999</v>
      </c>
      <c r="R86" s="322"/>
      <c r="S86" s="322"/>
      <c r="T86" s="324">
        <v>160</v>
      </c>
      <c r="U86" s="324">
        <v>171.7</v>
      </c>
      <c r="V86" s="324"/>
      <c r="W86" s="324"/>
      <c r="X86" s="324"/>
      <c r="Y86" s="324"/>
      <c r="Z86" s="324"/>
      <c r="AA86" s="114"/>
    </row>
    <row r="87" spans="1:27" s="99" customFormat="1" ht="22.5" hidden="1" customHeight="1">
      <c r="A87" s="209" t="s">
        <v>736</v>
      </c>
      <c r="B87" s="209" t="s">
        <v>757</v>
      </c>
      <c r="C87" s="209" t="s">
        <v>859</v>
      </c>
      <c r="D87" s="209"/>
      <c r="E87" s="209"/>
      <c r="F87" s="199" t="s">
        <v>189</v>
      </c>
      <c r="G87" s="199" t="s">
        <v>117</v>
      </c>
      <c r="H87" s="321" t="s">
        <v>67</v>
      </c>
      <c r="I87" s="201" t="s">
        <v>886</v>
      </c>
      <c r="J87" s="201" t="s">
        <v>848</v>
      </c>
      <c r="K87" s="201" t="s">
        <v>190</v>
      </c>
      <c r="L87" s="225" t="s">
        <v>191</v>
      </c>
      <c r="M87" s="322"/>
      <c r="N87" s="322"/>
      <c r="O87" s="322"/>
      <c r="P87" s="322"/>
      <c r="Q87" s="322"/>
      <c r="R87" s="322"/>
      <c r="S87" s="322"/>
      <c r="T87" s="322">
        <v>695.1</v>
      </c>
      <c r="U87" s="322">
        <v>622.9</v>
      </c>
      <c r="V87" s="326">
        <f>539.1+50</f>
        <v>589.1</v>
      </c>
      <c r="W87" s="322"/>
      <c r="X87" s="322"/>
      <c r="Y87" s="322"/>
      <c r="Z87" s="322"/>
      <c r="AA87" s="114"/>
    </row>
    <row r="88" spans="1:27" s="99" customFormat="1" ht="22.5" hidden="1" customHeight="1">
      <c r="A88" s="347" t="s">
        <v>736</v>
      </c>
      <c r="B88" s="347" t="s">
        <v>757</v>
      </c>
      <c r="C88" s="347" t="s">
        <v>859</v>
      </c>
      <c r="D88" s="348"/>
      <c r="E88" s="348"/>
      <c r="F88" s="349" t="s">
        <v>192</v>
      </c>
      <c r="G88" s="199" t="s">
        <v>113</v>
      </c>
      <c r="H88" s="321" t="s">
        <v>114</v>
      </c>
      <c r="I88" s="201" t="s">
        <v>886</v>
      </c>
      <c r="J88" s="201" t="s">
        <v>848</v>
      </c>
      <c r="K88" s="201" t="s">
        <v>193</v>
      </c>
      <c r="L88" s="225" t="s">
        <v>194</v>
      </c>
      <c r="M88" s="322"/>
      <c r="N88" s="322"/>
      <c r="O88" s="322"/>
      <c r="P88" s="322"/>
      <c r="Q88" s="322"/>
      <c r="R88" s="322"/>
      <c r="S88" s="322"/>
      <c r="T88" s="322">
        <v>1877.6</v>
      </c>
      <c r="U88" s="322"/>
      <c r="V88" s="322"/>
      <c r="W88" s="322"/>
      <c r="X88" s="322"/>
      <c r="Y88" s="322"/>
      <c r="Z88" s="322"/>
      <c r="AA88" s="114"/>
    </row>
    <row r="89" spans="1:27" s="99" customFormat="1" ht="22.5" hidden="1" customHeight="1">
      <c r="A89" s="515" t="s">
        <v>736</v>
      </c>
      <c r="B89" s="515" t="s">
        <v>757</v>
      </c>
      <c r="C89" s="515" t="s">
        <v>859</v>
      </c>
      <c r="D89" s="515" t="s">
        <v>737</v>
      </c>
      <c r="E89" s="515" t="s">
        <v>757</v>
      </c>
      <c r="F89" s="557" t="s">
        <v>142</v>
      </c>
      <c r="G89" s="199" t="s">
        <v>117</v>
      </c>
      <c r="H89" s="321" t="s">
        <v>63</v>
      </c>
      <c r="I89" s="201" t="s">
        <v>886</v>
      </c>
      <c r="J89" s="201" t="s">
        <v>848</v>
      </c>
      <c r="K89" s="201" t="s">
        <v>195</v>
      </c>
      <c r="L89" s="225" t="s">
        <v>186</v>
      </c>
      <c r="M89" s="322"/>
      <c r="N89" s="322"/>
      <c r="O89" s="322">
        <v>334.6</v>
      </c>
      <c r="P89" s="322"/>
      <c r="Q89" s="322">
        <v>100</v>
      </c>
      <c r="R89" s="322"/>
      <c r="S89" s="322"/>
      <c r="T89" s="322"/>
      <c r="U89" s="322"/>
      <c r="V89" s="322"/>
      <c r="W89" s="322"/>
      <c r="X89" s="322"/>
      <c r="Y89" s="322"/>
      <c r="Z89" s="322"/>
      <c r="AA89" s="114"/>
    </row>
    <row r="90" spans="1:27" s="99" customFormat="1" ht="22.5">
      <c r="A90" s="528"/>
      <c r="B90" s="528"/>
      <c r="C90" s="528"/>
      <c r="D90" s="528"/>
      <c r="E90" s="528"/>
      <c r="F90" s="558"/>
      <c r="G90" s="199" t="s">
        <v>117</v>
      </c>
      <c r="H90" s="321" t="s">
        <v>67</v>
      </c>
      <c r="I90" s="201" t="s">
        <v>886</v>
      </c>
      <c r="J90" s="201" t="s">
        <v>848</v>
      </c>
      <c r="K90" s="201" t="s">
        <v>195</v>
      </c>
      <c r="L90" s="225" t="s">
        <v>186</v>
      </c>
      <c r="M90" s="322"/>
      <c r="N90" s="322"/>
      <c r="O90" s="322"/>
      <c r="P90" s="322"/>
      <c r="Q90" s="322"/>
      <c r="R90" s="322"/>
      <c r="S90" s="322"/>
      <c r="T90" s="322">
        <v>475</v>
      </c>
      <c r="U90" s="322"/>
      <c r="V90" s="322"/>
      <c r="W90" s="322"/>
      <c r="X90" s="322"/>
      <c r="Y90" s="322"/>
      <c r="Z90" s="322"/>
      <c r="AA90" s="114" t="s">
        <v>201</v>
      </c>
    </row>
    <row r="91" spans="1:27" s="99" customFormat="1" ht="22.5">
      <c r="A91" s="516"/>
      <c r="B91" s="516"/>
      <c r="C91" s="516"/>
      <c r="D91" s="516"/>
      <c r="E91" s="516"/>
      <c r="F91" s="559"/>
      <c r="G91" s="199" t="s">
        <v>117</v>
      </c>
      <c r="H91" s="321" t="s">
        <v>67</v>
      </c>
      <c r="I91" s="201" t="s">
        <v>886</v>
      </c>
      <c r="J91" s="201" t="s">
        <v>848</v>
      </c>
      <c r="K91" s="201" t="s">
        <v>196</v>
      </c>
      <c r="L91" s="225" t="s">
        <v>186</v>
      </c>
      <c r="M91" s="322"/>
      <c r="N91" s="322"/>
      <c r="O91" s="322"/>
      <c r="P91" s="322"/>
      <c r="Q91" s="322"/>
      <c r="R91" s="322"/>
      <c r="S91" s="322"/>
      <c r="T91" s="322">
        <v>6.3</v>
      </c>
      <c r="U91" s="322">
        <v>5.4</v>
      </c>
      <c r="V91" s="322"/>
      <c r="W91" s="322"/>
      <c r="X91" s="322"/>
      <c r="Y91" s="322"/>
      <c r="Z91" s="322"/>
      <c r="AA91" s="114"/>
    </row>
    <row r="92" spans="1:27" s="99" customFormat="1" ht="22.5">
      <c r="A92" s="209" t="s">
        <v>736</v>
      </c>
      <c r="B92" s="209" t="s">
        <v>757</v>
      </c>
      <c r="C92" s="209" t="s">
        <v>859</v>
      </c>
      <c r="D92" s="209" t="s">
        <v>757</v>
      </c>
      <c r="E92" s="209" t="s">
        <v>737</v>
      </c>
      <c r="F92" s="199" t="s">
        <v>951</v>
      </c>
      <c r="G92" s="199" t="s">
        <v>117</v>
      </c>
      <c r="H92" s="321"/>
      <c r="I92" s="201"/>
      <c r="J92" s="201"/>
      <c r="K92" s="201"/>
      <c r="L92" s="225"/>
      <c r="M92" s="322"/>
      <c r="N92" s="322"/>
      <c r="O92" s="322"/>
      <c r="P92" s="322"/>
      <c r="Q92" s="322"/>
      <c r="R92" s="322"/>
      <c r="S92" s="322"/>
      <c r="T92" s="322"/>
      <c r="U92" s="322"/>
      <c r="V92" s="322"/>
      <c r="W92" s="322"/>
      <c r="X92" s="322"/>
      <c r="Y92" s="322"/>
      <c r="Z92" s="322"/>
      <c r="AA92" s="114" t="s">
        <v>203</v>
      </c>
    </row>
    <row r="93" spans="1:27" s="99" customFormat="1" ht="22.5">
      <c r="A93" s="209" t="s">
        <v>736</v>
      </c>
      <c r="B93" s="209" t="s">
        <v>757</v>
      </c>
      <c r="C93" s="209" t="s">
        <v>859</v>
      </c>
      <c r="D93" s="209" t="s">
        <v>780</v>
      </c>
      <c r="E93" s="209" t="s">
        <v>737</v>
      </c>
      <c r="F93" s="199" t="s">
        <v>953</v>
      </c>
      <c r="G93" s="199" t="s">
        <v>117</v>
      </c>
      <c r="H93" s="321" t="s">
        <v>63</v>
      </c>
      <c r="I93" s="201" t="s">
        <v>886</v>
      </c>
      <c r="J93" s="201" t="s">
        <v>848</v>
      </c>
      <c r="K93" s="201" t="s">
        <v>197</v>
      </c>
      <c r="L93" s="225" t="s">
        <v>176</v>
      </c>
      <c r="M93" s="322"/>
      <c r="N93" s="322">
        <v>1</v>
      </c>
      <c r="O93" s="322">
        <v>9.6</v>
      </c>
      <c r="P93" s="322"/>
      <c r="Q93" s="322"/>
      <c r="R93" s="322"/>
      <c r="S93" s="322"/>
      <c r="T93" s="322"/>
      <c r="U93" s="322"/>
      <c r="V93" s="322"/>
      <c r="W93" s="322"/>
      <c r="X93" s="322"/>
      <c r="Y93" s="322"/>
      <c r="Z93" s="322"/>
      <c r="AA93" s="114" t="s">
        <v>203</v>
      </c>
    </row>
    <row r="94" spans="1:27" s="99" customFormat="1" ht="22.5">
      <c r="A94" s="209" t="s">
        <v>736</v>
      </c>
      <c r="B94" s="209" t="s">
        <v>757</v>
      </c>
      <c r="C94" s="209" t="s">
        <v>859</v>
      </c>
      <c r="D94" s="209" t="s">
        <v>780</v>
      </c>
      <c r="E94" s="209" t="s">
        <v>757</v>
      </c>
      <c r="F94" s="199" t="s">
        <v>953</v>
      </c>
      <c r="G94" s="199" t="s">
        <v>117</v>
      </c>
      <c r="H94" s="321" t="s">
        <v>63</v>
      </c>
      <c r="I94" s="201" t="s">
        <v>886</v>
      </c>
      <c r="J94" s="201" t="s">
        <v>848</v>
      </c>
      <c r="K94" s="201" t="s">
        <v>198</v>
      </c>
      <c r="L94" s="225" t="s">
        <v>176</v>
      </c>
      <c r="M94" s="322"/>
      <c r="N94" s="322">
        <v>1035.0999999999999</v>
      </c>
      <c r="O94" s="322">
        <v>951</v>
      </c>
      <c r="P94" s="322"/>
      <c r="Q94" s="322"/>
      <c r="R94" s="322"/>
      <c r="S94" s="322"/>
      <c r="T94" s="322"/>
      <c r="U94" s="322"/>
      <c r="V94" s="322"/>
      <c r="W94" s="322"/>
      <c r="X94" s="322"/>
      <c r="Y94" s="322"/>
      <c r="Z94" s="322"/>
      <c r="AA94" s="114"/>
    </row>
    <row r="95" spans="1:27" s="99" customFormat="1" ht="22.5">
      <c r="A95" s="209" t="s">
        <v>736</v>
      </c>
      <c r="B95" s="209" t="s">
        <v>757</v>
      </c>
      <c r="C95" s="209" t="s">
        <v>859</v>
      </c>
      <c r="D95" s="209" t="s">
        <v>780</v>
      </c>
      <c r="E95" s="209" t="s">
        <v>757</v>
      </c>
      <c r="F95" s="199" t="s">
        <v>953</v>
      </c>
      <c r="G95" s="199" t="s">
        <v>117</v>
      </c>
      <c r="H95" s="321" t="s">
        <v>63</v>
      </c>
      <c r="I95" s="201" t="s">
        <v>886</v>
      </c>
      <c r="J95" s="201" t="s">
        <v>848</v>
      </c>
      <c r="K95" s="201" t="s">
        <v>199</v>
      </c>
      <c r="L95" s="225" t="s">
        <v>176</v>
      </c>
      <c r="M95" s="322"/>
      <c r="N95" s="322"/>
      <c r="O95" s="322"/>
      <c r="P95" s="322">
        <v>835.3</v>
      </c>
      <c r="Q95" s="322"/>
      <c r="R95" s="322"/>
      <c r="S95" s="322"/>
      <c r="T95" s="322"/>
      <c r="U95" s="322"/>
      <c r="V95" s="322"/>
      <c r="W95" s="322"/>
      <c r="X95" s="322"/>
      <c r="Y95" s="322"/>
      <c r="Z95" s="322"/>
      <c r="AA95" s="114"/>
    </row>
    <row r="96" spans="1:27" s="99" customFormat="1" ht="45" customHeight="1">
      <c r="A96" s="515" t="s">
        <v>736</v>
      </c>
      <c r="B96" s="515" t="s">
        <v>757</v>
      </c>
      <c r="C96" s="515" t="s">
        <v>859</v>
      </c>
      <c r="D96" s="515" t="s">
        <v>780</v>
      </c>
      <c r="E96" s="515" t="s">
        <v>757</v>
      </c>
      <c r="F96" s="529" t="s">
        <v>953</v>
      </c>
      <c r="G96" s="199" t="s">
        <v>117</v>
      </c>
      <c r="H96" s="321" t="s">
        <v>63</v>
      </c>
      <c r="I96" s="201" t="s">
        <v>886</v>
      </c>
      <c r="J96" s="201" t="s">
        <v>848</v>
      </c>
      <c r="K96" s="201" t="s">
        <v>200</v>
      </c>
      <c r="L96" s="225" t="s">
        <v>176</v>
      </c>
      <c r="M96" s="322"/>
      <c r="N96" s="322"/>
      <c r="O96" s="322"/>
      <c r="P96" s="322"/>
      <c r="Q96" s="322">
        <v>827.47500000000002</v>
      </c>
      <c r="R96" s="322">
        <v>848.47900000000004</v>
      </c>
      <c r="S96" s="322">
        <v>774.2</v>
      </c>
      <c r="T96" s="324"/>
      <c r="U96" s="324"/>
      <c r="V96" s="324"/>
      <c r="W96" s="324"/>
      <c r="X96" s="324"/>
      <c r="Y96" s="324"/>
      <c r="Z96" s="324"/>
      <c r="AA96" s="114"/>
    </row>
    <row r="97" spans="1:29" s="99" customFormat="1" ht="22.5" customHeight="1">
      <c r="A97" s="516"/>
      <c r="B97" s="516"/>
      <c r="C97" s="516"/>
      <c r="D97" s="516"/>
      <c r="E97" s="516"/>
      <c r="F97" s="530"/>
      <c r="G97" s="199" t="s">
        <v>844</v>
      </c>
      <c r="H97" s="321" t="s">
        <v>67</v>
      </c>
      <c r="I97" s="201" t="s">
        <v>886</v>
      </c>
      <c r="J97" s="201" t="s">
        <v>848</v>
      </c>
      <c r="K97" s="201" t="s">
        <v>202</v>
      </c>
      <c r="L97" s="225" t="s">
        <v>176</v>
      </c>
      <c r="M97" s="322"/>
      <c r="N97" s="322"/>
      <c r="O97" s="322"/>
      <c r="P97" s="322"/>
      <c r="Q97" s="322"/>
      <c r="R97" s="322"/>
      <c r="S97" s="322"/>
      <c r="T97" s="322">
        <v>780.6</v>
      </c>
      <c r="U97" s="322">
        <v>674.5</v>
      </c>
      <c r="V97" s="322">
        <v>701.8</v>
      </c>
      <c r="W97" s="322">
        <v>9</v>
      </c>
      <c r="X97" s="322">
        <v>9</v>
      </c>
      <c r="Y97" s="322">
        <v>9</v>
      </c>
      <c r="Z97" s="322">
        <v>9</v>
      </c>
      <c r="AA97" s="114" t="s">
        <v>214</v>
      </c>
    </row>
    <row r="98" spans="1:29" s="99" customFormat="1" ht="21.75" customHeight="1">
      <c r="A98" s="209" t="s">
        <v>736</v>
      </c>
      <c r="B98" s="209" t="s">
        <v>757</v>
      </c>
      <c r="C98" s="209" t="s">
        <v>859</v>
      </c>
      <c r="D98" s="209" t="s">
        <v>803</v>
      </c>
      <c r="E98" s="209" t="s">
        <v>737</v>
      </c>
      <c r="F98" s="199" t="s">
        <v>955</v>
      </c>
      <c r="G98" s="199" t="s">
        <v>117</v>
      </c>
      <c r="H98" s="321" t="s">
        <v>63</v>
      </c>
      <c r="I98" s="201" t="s">
        <v>886</v>
      </c>
      <c r="J98" s="201" t="s">
        <v>848</v>
      </c>
      <c r="K98" s="201" t="s">
        <v>190</v>
      </c>
      <c r="L98" s="225" t="s">
        <v>186</v>
      </c>
      <c r="M98" s="322"/>
      <c r="N98" s="322">
        <v>699.2</v>
      </c>
      <c r="O98" s="322">
        <v>517.1</v>
      </c>
      <c r="P98" s="322">
        <v>764.4</v>
      </c>
      <c r="Q98" s="322">
        <v>682.8</v>
      </c>
      <c r="R98" s="322">
        <v>959.26599999999996</v>
      </c>
      <c r="S98" s="322">
        <v>1000</v>
      </c>
      <c r="T98" s="322"/>
      <c r="U98" s="322"/>
      <c r="V98" s="322"/>
      <c r="W98" s="322"/>
      <c r="X98" s="322"/>
      <c r="Y98" s="322"/>
      <c r="Z98" s="322"/>
      <c r="AA98" s="114"/>
    </row>
    <row r="99" spans="1:29" s="99" customFormat="1" ht="22.5" customHeight="1">
      <c r="A99" s="209" t="s">
        <v>736</v>
      </c>
      <c r="B99" s="209" t="s">
        <v>757</v>
      </c>
      <c r="C99" s="209" t="s">
        <v>859</v>
      </c>
      <c r="D99" s="209"/>
      <c r="E99" s="209"/>
      <c r="F99" s="199" t="s">
        <v>204</v>
      </c>
      <c r="G99" s="199" t="s">
        <v>117</v>
      </c>
      <c r="H99" s="321" t="s">
        <v>63</v>
      </c>
      <c r="I99" s="201" t="s">
        <v>886</v>
      </c>
      <c r="J99" s="201" t="s">
        <v>848</v>
      </c>
      <c r="K99" s="201" t="s">
        <v>205</v>
      </c>
      <c r="L99" s="225" t="s">
        <v>186</v>
      </c>
      <c r="M99" s="322"/>
      <c r="N99" s="322">
        <v>699.2</v>
      </c>
      <c r="O99" s="322">
        <v>517.1</v>
      </c>
      <c r="P99" s="322">
        <v>764.4</v>
      </c>
      <c r="Q99" s="322">
        <v>682.8</v>
      </c>
      <c r="R99" s="322"/>
      <c r="S99" s="322">
        <v>35</v>
      </c>
      <c r="T99" s="322"/>
      <c r="U99" s="322"/>
      <c r="V99" s="322"/>
      <c r="W99" s="322"/>
      <c r="X99" s="322"/>
      <c r="Y99" s="322"/>
      <c r="Z99" s="322"/>
      <c r="AA99" s="114"/>
    </row>
    <row r="100" spans="1:29" s="99" customFormat="1" ht="22.5">
      <c r="A100" s="209" t="s">
        <v>736</v>
      </c>
      <c r="B100" s="209" t="s">
        <v>757</v>
      </c>
      <c r="C100" s="209" t="s">
        <v>859</v>
      </c>
      <c r="D100" s="209"/>
      <c r="E100" s="209"/>
      <c r="F100" s="199" t="s">
        <v>204</v>
      </c>
      <c r="G100" s="199" t="s">
        <v>117</v>
      </c>
      <c r="H100" s="321" t="s">
        <v>63</v>
      </c>
      <c r="I100" s="201" t="s">
        <v>886</v>
      </c>
      <c r="J100" s="201" t="s">
        <v>848</v>
      </c>
      <c r="K100" s="201" t="s">
        <v>206</v>
      </c>
      <c r="L100" s="225" t="s">
        <v>186</v>
      </c>
      <c r="M100" s="322"/>
      <c r="N100" s="322"/>
      <c r="O100" s="322"/>
      <c r="P100" s="322"/>
      <c r="Q100" s="322"/>
      <c r="R100" s="322"/>
      <c r="S100" s="322">
        <v>125</v>
      </c>
      <c r="T100" s="322"/>
      <c r="U100" s="322"/>
      <c r="V100" s="322"/>
      <c r="W100" s="322"/>
      <c r="X100" s="322"/>
      <c r="Y100" s="322"/>
      <c r="Z100" s="322"/>
      <c r="AA100" s="114"/>
    </row>
    <row r="101" spans="1:29" s="99" customFormat="1" ht="49.5" customHeight="1">
      <c r="A101" s="209" t="s">
        <v>736</v>
      </c>
      <c r="B101" s="209" t="s">
        <v>757</v>
      </c>
      <c r="C101" s="209" t="s">
        <v>859</v>
      </c>
      <c r="D101" s="209"/>
      <c r="E101" s="209"/>
      <c r="F101" s="346" t="s">
        <v>207</v>
      </c>
      <c r="G101" s="199" t="s">
        <v>117</v>
      </c>
      <c r="H101" s="321" t="s">
        <v>67</v>
      </c>
      <c r="I101" s="201" t="s">
        <v>886</v>
      </c>
      <c r="J101" s="201" t="s">
        <v>848</v>
      </c>
      <c r="K101" s="201" t="s">
        <v>208</v>
      </c>
      <c r="L101" s="225" t="s">
        <v>186</v>
      </c>
      <c r="M101" s="322"/>
      <c r="N101" s="322"/>
      <c r="O101" s="322"/>
      <c r="P101" s="322"/>
      <c r="Q101" s="322"/>
      <c r="R101" s="322"/>
      <c r="S101" s="322"/>
      <c r="T101" s="322"/>
      <c r="U101" s="322"/>
      <c r="V101" s="322"/>
      <c r="W101" s="322"/>
      <c r="X101" s="322"/>
      <c r="Y101" s="322"/>
      <c r="Z101" s="322"/>
      <c r="AA101" s="115" t="s">
        <v>221</v>
      </c>
    </row>
    <row r="102" spans="1:29" s="99" customFormat="1" ht="67.5" hidden="1" customHeight="1">
      <c r="A102" s="350" t="s">
        <v>736</v>
      </c>
      <c r="B102" s="350" t="s">
        <v>757</v>
      </c>
      <c r="C102" s="350" t="s">
        <v>859</v>
      </c>
      <c r="D102" s="350"/>
      <c r="E102" s="350"/>
      <c r="F102" s="351" t="s">
        <v>209</v>
      </c>
      <c r="G102" s="199" t="s">
        <v>117</v>
      </c>
      <c r="H102" s="321" t="s">
        <v>67</v>
      </c>
      <c r="I102" s="201" t="s">
        <v>886</v>
      </c>
      <c r="J102" s="201" t="s">
        <v>848</v>
      </c>
      <c r="K102" s="201" t="s">
        <v>210</v>
      </c>
      <c r="L102" s="225" t="s">
        <v>211</v>
      </c>
      <c r="M102" s="322"/>
      <c r="N102" s="322"/>
      <c r="O102" s="322"/>
      <c r="P102" s="322"/>
      <c r="Q102" s="322"/>
      <c r="R102" s="322"/>
      <c r="S102" s="322"/>
      <c r="T102" s="322"/>
      <c r="U102" s="322">
        <v>1589.9</v>
      </c>
      <c r="V102" s="326">
        <f>755.4</f>
        <v>755.4</v>
      </c>
      <c r="W102" s="322"/>
      <c r="X102" s="322"/>
      <c r="Y102" s="322"/>
      <c r="Z102" s="322"/>
      <c r="AA102" s="114"/>
    </row>
    <row r="103" spans="1:29" s="99" customFormat="1" ht="37.5" customHeight="1">
      <c r="A103" s="515" t="s">
        <v>736</v>
      </c>
      <c r="B103" s="515" t="s">
        <v>757</v>
      </c>
      <c r="C103" s="515"/>
      <c r="D103" s="515"/>
      <c r="E103" s="515"/>
      <c r="F103" s="560" t="s">
        <v>212</v>
      </c>
      <c r="G103" s="199" t="s">
        <v>117</v>
      </c>
      <c r="H103" s="321" t="s">
        <v>63</v>
      </c>
      <c r="I103" s="201" t="s">
        <v>886</v>
      </c>
      <c r="J103" s="201" t="s">
        <v>848</v>
      </c>
      <c r="K103" s="201" t="s">
        <v>213</v>
      </c>
      <c r="L103" s="225" t="s">
        <v>135</v>
      </c>
      <c r="M103" s="322"/>
      <c r="N103" s="322"/>
      <c r="O103" s="322"/>
      <c r="P103" s="322"/>
      <c r="Q103" s="322"/>
      <c r="R103" s="322">
        <v>501.03899999999999</v>
      </c>
      <c r="S103" s="322">
        <v>1234.9000000000001</v>
      </c>
      <c r="T103" s="322"/>
      <c r="U103" s="322"/>
      <c r="V103" s="322"/>
      <c r="W103" s="322"/>
      <c r="X103" s="322"/>
      <c r="Y103" s="322"/>
      <c r="Z103" s="322"/>
      <c r="AA103" s="114" t="s">
        <v>225</v>
      </c>
      <c r="AC103" s="105">
        <f>S103+S116</f>
        <v>1234.9000000000001</v>
      </c>
    </row>
    <row r="104" spans="1:29" s="99" customFormat="1" ht="22.5">
      <c r="A104" s="528"/>
      <c r="B104" s="528"/>
      <c r="C104" s="528"/>
      <c r="D104" s="528"/>
      <c r="E104" s="528"/>
      <c r="F104" s="579"/>
      <c r="G104" s="199" t="s">
        <v>844</v>
      </c>
      <c r="H104" s="321" t="s">
        <v>67</v>
      </c>
      <c r="I104" s="201" t="s">
        <v>886</v>
      </c>
      <c r="J104" s="201" t="s">
        <v>848</v>
      </c>
      <c r="K104" s="201" t="s">
        <v>213</v>
      </c>
      <c r="L104" s="225" t="s">
        <v>135</v>
      </c>
      <c r="M104" s="322"/>
      <c r="N104" s="322"/>
      <c r="O104" s="322"/>
      <c r="P104" s="322"/>
      <c r="Q104" s="322"/>
      <c r="R104" s="322"/>
      <c r="S104" s="322"/>
      <c r="T104" s="322">
        <v>2026.7</v>
      </c>
      <c r="U104" s="322"/>
      <c r="V104" s="322"/>
      <c r="W104" s="322"/>
      <c r="X104" s="322"/>
      <c r="Y104" s="322"/>
      <c r="Z104" s="322"/>
      <c r="AA104" s="114"/>
      <c r="AC104" s="105"/>
    </row>
    <row r="105" spans="1:29" s="99" customFormat="1" ht="51.75" customHeight="1">
      <c r="A105" s="516"/>
      <c r="B105" s="516"/>
      <c r="C105" s="516"/>
      <c r="D105" s="516"/>
      <c r="E105" s="516"/>
      <c r="F105" s="561"/>
      <c r="G105" s="199" t="s">
        <v>844</v>
      </c>
      <c r="H105" s="321" t="s">
        <v>67</v>
      </c>
      <c r="I105" s="201" t="s">
        <v>886</v>
      </c>
      <c r="J105" s="201" t="s">
        <v>848</v>
      </c>
      <c r="K105" s="201" t="s">
        <v>215</v>
      </c>
      <c r="L105" s="225" t="s">
        <v>135</v>
      </c>
      <c r="M105" s="322"/>
      <c r="N105" s="322"/>
      <c r="O105" s="322"/>
      <c r="P105" s="322"/>
      <c r="Q105" s="322"/>
      <c r="R105" s="322"/>
      <c r="S105" s="322"/>
      <c r="T105" s="322">
        <v>2000</v>
      </c>
      <c r="U105" s="322">
        <v>306</v>
      </c>
      <c r="V105" s="326">
        <f>914.8</f>
        <v>914.8</v>
      </c>
      <c r="W105" s="322">
        <v>0</v>
      </c>
      <c r="X105" s="322">
        <v>0</v>
      </c>
      <c r="Y105" s="322">
        <v>0</v>
      </c>
      <c r="Z105" s="322">
        <v>0</v>
      </c>
      <c r="AA105" s="114" t="s">
        <v>227</v>
      </c>
    </row>
    <row r="106" spans="1:29" s="99" customFormat="1" ht="22.15" customHeight="1">
      <c r="A106" s="318" t="s">
        <v>736</v>
      </c>
      <c r="B106" s="318" t="s">
        <v>757</v>
      </c>
      <c r="C106" s="318" t="s">
        <v>869</v>
      </c>
      <c r="D106" s="318"/>
      <c r="E106" s="318"/>
      <c r="F106" s="309" t="s">
        <v>216</v>
      </c>
      <c r="G106" s="314" t="s">
        <v>117</v>
      </c>
      <c r="H106" s="317" t="s">
        <v>63</v>
      </c>
      <c r="I106" s="317" t="s">
        <v>886</v>
      </c>
      <c r="J106" s="317" t="s">
        <v>848</v>
      </c>
      <c r="K106" s="317" t="s">
        <v>217</v>
      </c>
      <c r="L106" s="329"/>
      <c r="M106" s="312">
        <f>M108+M122+M117+M124</f>
        <v>15</v>
      </c>
      <c r="N106" s="312">
        <f>N108+N122+N117+N124</f>
        <v>4400.3</v>
      </c>
      <c r="O106" s="312">
        <f>O108+O122+O117+O124+O128</f>
        <v>4322.3000000000011</v>
      </c>
      <c r="P106" s="312">
        <f>P108+P122+P109+P117+P118+P124+P128</f>
        <v>4711.8</v>
      </c>
      <c r="Q106" s="312">
        <f>Q108+Q122+Q109+Q117+Q118+Q124+Q128</f>
        <v>4248.8860000000004</v>
      </c>
      <c r="R106" s="312">
        <f>R108+R122+R109+R117+R118+R124+R128+R111+R120+R115+R107+R123+R126</f>
        <v>9289.6969999999983</v>
      </c>
      <c r="S106" s="312">
        <f>S108+S122+S109+S117+S118+S124+S128+S111+S120+S115+S107+S123+S126</f>
        <v>12840.9</v>
      </c>
      <c r="T106" s="312">
        <f t="shared" ref="T106:Z106" si="15">T108+T122+T109+T117+T118+T124+T129+T111+T121+T116+T107+T123+T126+T112+T114</f>
        <v>13212</v>
      </c>
      <c r="U106" s="312">
        <f t="shared" si="15"/>
        <v>14527.5</v>
      </c>
      <c r="V106" s="312">
        <f t="shared" si="15"/>
        <v>13484.220000000001</v>
      </c>
      <c r="W106" s="312">
        <f t="shared" si="15"/>
        <v>12428.1</v>
      </c>
      <c r="X106" s="312">
        <f t="shared" si="15"/>
        <v>10641.4</v>
      </c>
      <c r="Y106" s="312">
        <f t="shared" si="15"/>
        <v>11205.394199999999</v>
      </c>
      <c r="Z106" s="312">
        <f t="shared" si="15"/>
        <v>11799.280092599996</v>
      </c>
      <c r="AA106" s="114"/>
    </row>
    <row r="107" spans="1:29" s="99" customFormat="1" ht="30" customHeight="1">
      <c r="A107" s="209" t="s">
        <v>736</v>
      </c>
      <c r="B107" s="209" t="s">
        <v>757</v>
      </c>
      <c r="C107" s="209" t="s">
        <v>869</v>
      </c>
      <c r="D107" s="209" t="s">
        <v>933</v>
      </c>
      <c r="E107" s="209" t="s">
        <v>803</v>
      </c>
      <c r="F107" s="221" t="s">
        <v>218</v>
      </c>
      <c r="G107" s="199" t="s">
        <v>117</v>
      </c>
      <c r="H107" s="321" t="s">
        <v>63</v>
      </c>
      <c r="I107" s="321" t="s">
        <v>886</v>
      </c>
      <c r="J107" s="321" t="s">
        <v>848</v>
      </c>
      <c r="K107" s="321" t="s">
        <v>219</v>
      </c>
      <c r="L107" s="225" t="s">
        <v>220</v>
      </c>
      <c r="M107" s="323"/>
      <c r="N107" s="323"/>
      <c r="O107" s="323"/>
      <c r="P107" s="323"/>
      <c r="Q107" s="323"/>
      <c r="R107" s="322">
        <v>1275.325</v>
      </c>
      <c r="S107" s="322">
        <v>1962.7</v>
      </c>
      <c r="T107" s="323"/>
      <c r="U107" s="323"/>
      <c r="V107" s="323"/>
      <c r="W107" s="323"/>
      <c r="X107" s="323"/>
      <c r="Y107" s="323"/>
      <c r="Z107" s="323"/>
      <c r="AA107" s="114"/>
    </row>
    <row r="108" spans="1:29" s="99" customFormat="1" ht="35.25" customHeight="1">
      <c r="A108" s="209" t="s">
        <v>736</v>
      </c>
      <c r="B108" s="209" t="s">
        <v>757</v>
      </c>
      <c r="C108" s="209" t="s">
        <v>869</v>
      </c>
      <c r="D108" s="209" t="s">
        <v>737</v>
      </c>
      <c r="E108" s="209" t="s">
        <v>737</v>
      </c>
      <c r="F108" s="199" t="s">
        <v>222</v>
      </c>
      <c r="G108" s="199" t="s">
        <v>117</v>
      </c>
      <c r="H108" s="321" t="s">
        <v>63</v>
      </c>
      <c r="I108" s="321" t="s">
        <v>886</v>
      </c>
      <c r="J108" s="321" t="s">
        <v>848</v>
      </c>
      <c r="K108" s="321" t="s">
        <v>223</v>
      </c>
      <c r="L108" s="225" t="s">
        <v>224</v>
      </c>
      <c r="M108" s="322"/>
      <c r="N108" s="322">
        <v>3990.6</v>
      </c>
      <c r="O108" s="322">
        <v>3841.1</v>
      </c>
      <c r="P108" s="322"/>
      <c r="Q108" s="322"/>
      <c r="R108" s="322"/>
      <c r="S108" s="322"/>
      <c r="T108" s="322"/>
      <c r="U108" s="322"/>
      <c r="V108" s="322"/>
      <c r="W108" s="322"/>
      <c r="X108" s="322"/>
      <c r="Y108" s="322"/>
      <c r="Z108" s="322"/>
      <c r="AA108" s="114" t="s">
        <v>227</v>
      </c>
    </row>
    <row r="109" spans="1:29" s="99" customFormat="1" ht="24" customHeight="1">
      <c r="A109" s="515" t="s">
        <v>736</v>
      </c>
      <c r="B109" s="515" t="s">
        <v>757</v>
      </c>
      <c r="C109" s="515" t="s">
        <v>869</v>
      </c>
      <c r="D109" s="515" t="s">
        <v>737</v>
      </c>
      <c r="E109" s="515" t="s">
        <v>757</v>
      </c>
      <c r="F109" s="529" t="s">
        <v>526</v>
      </c>
      <c r="G109" s="199" t="s">
        <v>117</v>
      </c>
      <c r="H109" s="321" t="s">
        <v>63</v>
      </c>
      <c r="I109" s="321" t="s">
        <v>886</v>
      </c>
      <c r="J109" s="321" t="s">
        <v>848</v>
      </c>
      <c r="K109" s="321" t="s">
        <v>223</v>
      </c>
      <c r="L109" s="225" t="s">
        <v>224</v>
      </c>
      <c r="M109" s="322"/>
      <c r="N109" s="322"/>
      <c r="O109" s="322"/>
      <c r="P109" s="322">
        <v>4001</v>
      </c>
      <c r="Q109" s="322">
        <v>3167.152</v>
      </c>
      <c r="R109" s="322">
        <v>1508.6</v>
      </c>
      <c r="S109" s="322"/>
      <c r="T109" s="322"/>
      <c r="U109" s="322"/>
      <c r="V109" s="322"/>
      <c r="W109" s="322"/>
      <c r="X109" s="322"/>
      <c r="Y109" s="322"/>
      <c r="Z109" s="322"/>
      <c r="AA109" s="114"/>
    </row>
    <row r="110" spans="1:29" s="99" customFormat="1" ht="27" hidden="1" customHeight="1">
      <c r="A110" s="516"/>
      <c r="B110" s="516"/>
      <c r="C110" s="516"/>
      <c r="D110" s="516"/>
      <c r="E110" s="516"/>
      <c r="F110" s="530"/>
      <c r="G110" s="199" t="s">
        <v>844</v>
      </c>
      <c r="H110" s="321" t="s">
        <v>67</v>
      </c>
      <c r="I110" s="321" t="s">
        <v>886</v>
      </c>
      <c r="J110" s="321" t="s">
        <v>848</v>
      </c>
      <c r="K110" s="321" t="s">
        <v>223</v>
      </c>
      <c r="L110" s="225" t="s">
        <v>224</v>
      </c>
      <c r="M110" s="322"/>
      <c r="N110" s="322"/>
      <c r="O110" s="322"/>
      <c r="P110" s="322"/>
      <c r="Q110" s="322"/>
      <c r="R110" s="322"/>
      <c r="S110" s="322"/>
      <c r="T110" s="322"/>
      <c r="U110" s="322"/>
      <c r="V110" s="322"/>
      <c r="W110" s="322"/>
      <c r="X110" s="322"/>
      <c r="Y110" s="322"/>
      <c r="Z110" s="322"/>
      <c r="AA110" s="114"/>
    </row>
    <row r="111" spans="1:29" s="99" customFormat="1" ht="36.75" customHeight="1">
      <c r="A111" s="352" t="s">
        <v>736</v>
      </c>
      <c r="B111" s="352" t="s">
        <v>757</v>
      </c>
      <c r="C111" s="515" t="s">
        <v>869</v>
      </c>
      <c r="D111" s="353" t="s">
        <v>757</v>
      </c>
      <c r="E111" s="353" t="s">
        <v>780</v>
      </c>
      <c r="F111" s="557" t="s">
        <v>538</v>
      </c>
      <c r="G111" s="199" t="s">
        <v>117</v>
      </c>
      <c r="H111" s="321" t="s">
        <v>63</v>
      </c>
      <c r="I111" s="321" t="s">
        <v>886</v>
      </c>
      <c r="J111" s="321" t="s">
        <v>848</v>
      </c>
      <c r="K111" s="321" t="s">
        <v>226</v>
      </c>
      <c r="L111" s="225" t="s">
        <v>224</v>
      </c>
      <c r="M111" s="322"/>
      <c r="N111" s="322"/>
      <c r="O111" s="322"/>
      <c r="P111" s="322"/>
      <c r="Q111" s="322"/>
      <c r="R111" s="322">
        <v>2914.752</v>
      </c>
      <c r="S111" s="322"/>
      <c r="T111" s="322"/>
      <c r="U111" s="322"/>
      <c r="V111" s="322"/>
      <c r="W111" s="322"/>
      <c r="X111" s="322"/>
      <c r="Y111" s="322"/>
      <c r="Z111" s="322"/>
      <c r="AA111" s="114" t="s">
        <v>231</v>
      </c>
    </row>
    <row r="112" spans="1:29" s="99" customFormat="1" ht="23.25" customHeight="1">
      <c r="A112" s="354"/>
      <c r="B112" s="354"/>
      <c r="C112" s="516"/>
      <c r="D112" s="354"/>
      <c r="E112" s="354"/>
      <c r="F112" s="558"/>
      <c r="G112" s="199" t="s">
        <v>117</v>
      </c>
      <c r="H112" s="321" t="s">
        <v>67</v>
      </c>
      <c r="I112" s="321" t="s">
        <v>886</v>
      </c>
      <c r="J112" s="321" t="s">
        <v>848</v>
      </c>
      <c r="K112" s="321" t="s">
        <v>226</v>
      </c>
      <c r="L112" s="225" t="s">
        <v>224</v>
      </c>
      <c r="M112" s="322"/>
      <c r="N112" s="322"/>
      <c r="O112" s="322"/>
      <c r="P112" s="322"/>
      <c r="Q112" s="322"/>
      <c r="R112" s="322"/>
      <c r="S112" s="322"/>
      <c r="T112" s="322">
        <v>641.6</v>
      </c>
      <c r="U112" s="322">
        <v>2131.3000000000002</v>
      </c>
      <c r="V112" s="326">
        <f>1759.5</f>
        <v>1759.5</v>
      </c>
      <c r="W112" s="322">
        <v>1121.0999999999999</v>
      </c>
      <c r="X112" s="322">
        <v>423.7</v>
      </c>
      <c r="Y112" s="322">
        <f>X112*1.053</f>
        <v>446.15609999999998</v>
      </c>
      <c r="Z112" s="322">
        <f>Y112*1.053</f>
        <v>469.80237329999994</v>
      </c>
      <c r="AA112" s="114"/>
    </row>
    <row r="113" spans="1:27" s="99" customFormat="1" ht="30.75" customHeight="1">
      <c r="A113" s="355"/>
      <c r="B113" s="355"/>
      <c r="C113" s="348"/>
      <c r="D113" s="355"/>
      <c r="E113" s="355"/>
      <c r="F113" s="558"/>
      <c r="G113" s="199" t="s">
        <v>117</v>
      </c>
      <c r="H113" s="343" t="s">
        <v>67</v>
      </c>
      <c r="I113" s="343" t="s">
        <v>886</v>
      </c>
      <c r="J113" s="343" t="s">
        <v>848</v>
      </c>
      <c r="K113" s="343" t="s">
        <v>980</v>
      </c>
      <c r="L113" s="344" t="s">
        <v>135</v>
      </c>
      <c r="M113" s="322"/>
      <c r="N113" s="322"/>
      <c r="O113" s="322"/>
      <c r="P113" s="322"/>
      <c r="Q113" s="322"/>
      <c r="R113" s="322"/>
      <c r="S113" s="322"/>
      <c r="T113" s="322"/>
      <c r="U113" s="322"/>
      <c r="V113" s="326">
        <f>20</f>
        <v>20</v>
      </c>
      <c r="W113" s="322"/>
      <c r="X113" s="322"/>
      <c r="Y113" s="322"/>
      <c r="Z113" s="322"/>
      <c r="AA113" s="114" t="s">
        <v>233</v>
      </c>
    </row>
    <row r="114" spans="1:27" s="99" customFormat="1" ht="30.75" customHeight="1">
      <c r="A114" s="348"/>
      <c r="B114" s="348"/>
      <c r="C114" s="348"/>
      <c r="D114" s="348"/>
      <c r="E114" s="348"/>
      <c r="F114" s="559"/>
      <c r="G114" s="199" t="s">
        <v>117</v>
      </c>
      <c r="H114" s="321" t="s">
        <v>67</v>
      </c>
      <c r="I114" s="321" t="s">
        <v>886</v>
      </c>
      <c r="J114" s="321" t="s">
        <v>848</v>
      </c>
      <c r="K114" s="321" t="s">
        <v>228</v>
      </c>
      <c r="L114" s="225" t="s">
        <v>224</v>
      </c>
      <c r="M114" s="322"/>
      <c r="N114" s="322"/>
      <c r="O114" s="322"/>
      <c r="P114" s="322"/>
      <c r="Q114" s="322"/>
      <c r="R114" s="322"/>
      <c r="S114" s="322"/>
      <c r="T114" s="322">
        <v>388.1</v>
      </c>
      <c r="U114" s="322">
        <v>8.1999999999999993</v>
      </c>
      <c r="V114" s="322">
        <v>9.52</v>
      </c>
      <c r="W114" s="322">
        <v>7.8</v>
      </c>
      <c r="X114" s="322">
        <v>7.8</v>
      </c>
      <c r="Y114" s="322">
        <f>X114*1.053</f>
        <v>8.2134</v>
      </c>
      <c r="Z114" s="322">
        <f>Y114*1.053</f>
        <v>8.6487102</v>
      </c>
      <c r="AA114" s="114"/>
    </row>
    <row r="115" spans="1:27" s="99" customFormat="1" ht="81.75" hidden="1" customHeight="1">
      <c r="A115" s="515" t="s">
        <v>736</v>
      </c>
      <c r="B115" s="515" t="s">
        <v>757</v>
      </c>
      <c r="C115" s="515" t="s">
        <v>869</v>
      </c>
      <c r="D115" s="515" t="s">
        <v>513</v>
      </c>
      <c r="E115" s="515" t="s">
        <v>757</v>
      </c>
      <c r="F115" s="529" t="s">
        <v>538</v>
      </c>
      <c r="G115" s="199" t="s">
        <v>117</v>
      </c>
      <c r="H115" s="321" t="s">
        <v>63</v>
      </c>
      <c r="I115" s="321" t="s">
        <v>886</v>
      </c>
      <c r="J115" s="321" t="s">
        <v>848</v>
      </c>
      <c r="K115" s="321" t="s">
        <v>229</v>
      </c>
      <c r="L115" s="225" t="s">
        <v>224</v>
      </c>
      <c r="M115" s="322"/>
      <c r="N115" s="322"/>
      <c r="O115" s="322"/>
      <c r="P115" s="322"/>
      <c r="Q115" s="322"/>
      <c r="R115" s="322">
        <v>1817.08</v>
      </c>
      <c r="S115" s="322">
        <v>9475.4</v>
      </c>
      <c r="T115" s="324"/>
      <c r="U115" s="324"/>
      <c r="V115" s="324"/>
      <c r="W115" s="324"/>
      <c r="X115" s="324"/>
      <c r="Y115" s="322"/>
      <c r="Z115" s="322"/>
      <c r="AA115" s="114"/>
    </row>
    <row r="116" spans="1:27" s="99" customFormat="1" ht="30.75" customHeight="1">
      <c r="A116" s="516"/>
      <c r="B116" s="516"/>
      <c r="C116" s="516"/>
      <c r="D116" s="516"/>
      <c r="E116" s="516"/>
      <c r="F116" s="530"/>
      <c r="G116" s="199" t="s">
        <v>844</v>
      </c>
      <c r="H116" s="321" t="s">
        <v>67</v>
      </c>
      <c r="I116" s="321" t="s">
        <v>886</v>
      </c>
      <c r="J116" s="321" t="s">
        <v>848</v>
      </c>
      <c r="K116" s="321" t="s">
        <v>229</v>
      </c>
      <c r="L116" s="225" t="s">
        <v>224</v>
      </c>
      <c r="M116" s="322"/>
      <c r="N116" s="322"/>
      <c r="O116" s="322"/>
      <c r="P116" s="322"/>
      <c r="Q116" s="322"/>
      <c r="R116" s="322"/>
      <c r="S116" s="322"/>
      <c r="T116" s="322">
        <v>10139.9</v>
      </c>
      <c r="U116" s="322">
        <v>10415.5</v>
      </c>
      <c r="V116" s="326">
        <f>9930.2</f>
        <v>9930.2000000000007</v>
      </c>
      <c r="W116" s="322">
        <v>9514.2000000000007</v>
      </c>
      <c r="X116" s="322">
        <v>8424.9</v>
      </c>
      <c r="Y116" s="322">
        <f>X116*1.053</f>
        <v>8871.4196999999986</v>
      </c>
      <c r="Z116" s="322">
        <f>Y116*1.053</f>
        <v>9341.6049440999977</v>
      </c>
      <c r="AA116" s="118" t="s">
        <v>234</v>
      </c>
    </row>
    <row r="117" spans="1:27" s="99" customFormat="1" ht="1.5" hidden="1" customHeight="1">
      <c r="A117" s="209" t="s">
        <v>736</v>
      </c>
      <c r="B117" s="209" t="s">
        <v>757</v>
      </c>
      <c r="C117" s="209" t="s">
        <v>869</v>
      </c>
      <c r="D117" s="209" t="s">
        <v>737</v>
      </c>
      <c r="E117" s="209" t="s">
        <v>757</v>
      </c>
      <c r="F117" s="199" t="s">
        <v>222</v>
      </c>
      <c r="G117" s="199" t="s">
        <v>117</v>
      </c>
      <c r="H117" s="321" t="s">
        <v>63</v>
      </c>
      <c r="I117" s="321" t="s">
        <v>886</v>
      </c>
      <c r="J117" s="321" t="s">
        <v>904</v>
      </c>
      <c r="K117" s="321" t="s">
        <v>230</v>
      </c>
      <c r="L117" s="225" t="s">
        <v>224</v>
      </c>
      <c r="M117" s="322">
        <v>14</v>
      </c>
      <c r="N117" s="322">
        <v>13.6</v>
      </c>
      <c r="O117" s="322">
        <v>39.6</v>
      </c>
      <c r="P117" s="322"/>
      <c r="Q117" s="322"/>
      <c r="R117" s="322"/>
      <c r="S117" s="322"/>
      <c r="T117" s="322"/>
      <c r="U117" s="322"/>
      <c r="V117" s="322"/>
      <c r="W117" s="322"/>
      <c r="X117" s="322"/>
      <c r="Y117" s="322"/>
      <c r="Z117" s="322"/>
      <c r="AA117" s="114"/>
    </row>
    <row r="118" spans="1:27" s="99" customFormat="1" ht="35.25" customHeight="1">
      <c r="A118" s="515" t="s">
        <v>736</v>
      </c>
      <c r="B118" s="515" t="s">
        <v>757</v>
      </c>
      <c r="C118" s="515" t="s">
        <v>869</v>
      </c>
      <c r="D118" s="515" t="s">
        <v>737</v>
      </c>
      <c r="E118" s="515" t="s">
        <v>757</v>
      </c>
      <c r="F118" s="560" t="s">
        <v>526</v>
      </c>
      <c r="G118" s="580" t="s">
        <v>117</v>
      </c>
      <c r="H118" s="321" t="s">
        <v>63</v>
      </c>
      <c r="I118" s="321" t="s">
        <v>886</v>
      </c>
      <c r="J118" s="321" t="s">
        <v>848</v>
      </c>
      <c r="K118" s="321" t="s">
        <v>230</v>
      </c>
      <c r="L118" s="225" t="s">
        <v>224</v>
      </c>
      <c r="M118" s="322"/>
      <c r="N118" s="322"/>
      <c r="O118" s="322"/>
      <c r="P118" s="322">
        <v>42.4</v>
      </c>
      <c r="Q118" s="322">
        <v>33.841999999999999</v>
      </c>
      <c r="R118" s="322">
        <v>15.1</v>
      </c>
      <c r="S118" s="322"/>
      <c r="T118" s="322"/>
      <c r="U118" s="322"/>
      <c r="V118" s="322"/>
      <c r="W118" s="322"/>
      <c r="X118" s="322"/>
      <c r="Y118" s="322"/>
      <c r="Z118" s="322"/>
      <c r="AA118" s="114"/>
    </row>
    <row r="119" spans="1:27" s="99" customFormat="1" ht="48" customHeight="1">
      <c r="A119" s="516"/>
      <c r="B119" s="516"/>
      <c r="C119" s="516"/>
      <c r="D119" s="516"/>
      <c r="E119" s="516"/>
      <c r="F119" s="561"/>
      <c r="G119" s="581"/>
      <c r="H119" s="321" t="s">
        <v>67</v>
      </c>
      <c r="I119" s="321" t="s">
        <v>886</v>
      </c>
      <c r="J119" s="321" t="s">
        <v>848</v>
      </c>
      <c r="K119" s="321" t="s">
        <v>230</v>
      </c>
      <c r="L119" s="225" t="s">
        <v>224</v>
      </c>
      <c r="M119" s="322"/>
      <c r="N119" s="322"/>
      <c r="O119" s="322"/>
      <c r="P119" s="322"/>
      <c r="Q119" s="322"/>
      <c r="R119" s="322"/>
      <c r="S119" s="322"/>
      <c r="T119" s="322"/>
      <c r="U119" s="322"/>
      <c r="V119" s="322"/>
      <c r="W119" s="322"/>
      <c r="X119" s="322"/>
      <c r="Y119" s="322"/>
      <c r="Z119" s="322"/>
      <c r="AA119" s="114" t="s">
        <v>235</v>
      </c>
    </row>
    <row r="120" spans="1:27" s="99" customFormat="1" ht="33.75" customHeight="1">
      <c r="A120" s="515" t="s">
        <v>736</v>
      </c>
      <c r="B120" s="515" t="s">
        <v>757</v>
      </c>
      <c r="C120" s="515" t="s">
        <v>869</v>
      </c>
      <c r="D120" s="515" t="s">
        <v>513</v>
      </c>
      <c r="E120" s="515" t="s">
        <v>780</v>
      </c>
      <c r="F120" s="529" t="s">
        <v>538</v>
      </c>
      <c r="G120" s="199" t="s">
        <v>117</v>
      </c>
      <c r="H120" s="321" t="s">
        <v>63</v>
      </c>
      <c r="I120" s="321" t="s">
        <v>886</v>
      </c>
      <c r="J120" s="321" t="s">
        <v>848</v>
      </c>
      <c r="K120" s="321" t="s">
        <v>232</v>
      </c>
      <c r="L120" s="225" t="s">
        <v>224</v>
      </c>
      <c r="M120" s="322"/>
      <c r="N120" s="322"/>
      <c r="O120" s="322"/>
      <c r="P120" s="322"/>
      <c r="Q120" s="322"/>
      <c r="R120" s="322">
        <v>14.7</v>
      </c>
      <c r="S120" s="322">
        <v>0</v>
      </c>
      <c r="T120" s="324"/>
      <c r="U120" s="324"/>
      <c r="V120" s="324"/>
      <c r="W120" s="324"/>
      <c r="X120" s="324"/>
      <c r="Y120" s="324"/>
      <c r="Z120" s="324"/>
      <c r="AA120" s="114"/>
    </row>
    <row r="121" spans="1:27" s="99" customFormat="1" ht="33.75" customHeight="1">
      <c r="A121" s="516"/>
      <c r="B121" s="516"/>
      <c r="C121" s="516"/>
      <c r="D121" s="516"/>
      <c r="E121" s="516"/>
      <c r="F121" s="530"/>
      <c r="G121" s="199" t="s">
        <v>844</v>
      </c>
      <c r="H121" s="321" t="s">
        <v>63</v>
      </c>
      <c r="I121" s="321" t="s">
        <v>886</v>
      </c>
      <c r="J121" s="321" t="s">
        <v>848</v>
      </c>
      <c r="K121" s="321" t="s">
        <v>232</v>
      </c>
      <c r="L121" s="225" t="s">
        <v>224</v>
      </c>
      <c r="M121" s="322"/>
      <c r="N121" s="322"/>
      <c r="O121" s="322"/>
      <c r="P121" s="322"/>
      <c r="Q121" s="322"/>
      <c r="R121" s="322"/>
      <c r="S121" s="322"/>
      <c r="T121" s="322"/>
      <c r="U121" s="322"/>
      <c r="V121" s="322"/>
      <c r="W121" s="322">
        <f>V121*1.05</f>
        <v>0</v>
      </c>
      <c r="X121" s="322">
        <f>W121*1.05</f>
        <v>0</v>
      </c>
      <c r="Y121" s="322"/>
      <c r="Z121" s="322"/>
      <c r="AA121" s="114" t="s">
        <v>237</v>
      </c>
    </row>
    <row r="122" spans="1:27" s="99" customFormat="1" ht="90">
      <c r="A122" s="209" t="s">
        <v>736</v>
      </c>
      <c r="B122" s="209" t="s">
        <v>757</v>
      </c>
      <c r="C122" s="209" t="s">
        <v>869</v>
      </c>
      <c r="D122" s="209" t="s">
        <v>757</v>
      </c>
      <c r="E122" s="209" t="s">
        <v>737</v>
      </c>
      <c r="F122" s="199" t="s">
        <v>529</v>
      </c>
      <c r="G122" s="199" t="s">
        <v>117</v>
      </c>
      <c r="H122" s="321" t="s">
        <v>63</v>
      </c>
      <c r="I122" s="321" t="s">
        <v>886</v>
      </c>
      <c r="J122" s="321" t="s">
        <v>848</v>
      </c>
      <c r="K122" s="321" t="s">
        <v>223</v>
      </c>
      <c r="L122" s="225" t="s">
        <v>224</v>
      </c>
      <c r="M122" s="322"/>
      <c r="N122" s="322">
        <v>394.7</v>
      </c>
      <c r="O122" s="322">
        <v>379.9</v>
      </c>
      <c r="P122" s="322">
        <v>395.7</v>
      </c>
      <c r="Q122" s="322">
        <v>730.5</v>
      </c>
      <c r="R122" s="322"/>
      <c r="S122" s="322"/>
      <c r="T122" s="322"/>
      <c r="U122" s="322"/>
      <c r="V122" s="322"/>
      <c r="W122" s="322"/>
      <c r="X122" s="322"/>
      <c r="Y122" s="322"/>
      <c r="Z122" s="322"/>
      <c r="AA122" s="114"/>
    </row>
    <row r="123" spans="1:27" s="99" customFormat="1" ht="22.5">
      <c r="A123" s="515" t="s">
        <v>736</v>
      </c>
      <c r="B123" s="515" t="s">
        <v>757</v>
      </c>
      <c r="C123" s="515" t="s">
        <v>869</v>
      </c>
      <c r="D123" s="515" t="s">
        <v>757</v>
      </c>
      <c r="E123" s="515" t="s">
        <v>737</v>
      </c>
      <c r="F123" s="529" t="s">
        <v>981</v>
      </c>
      <c r="G123" s="529" t="s">
        <v>117</v>
      </c>
      <c r="H123" s="321" t="s">
        <v>63</v>
      </c>
      <c r="I123" s="321" t="s">
        <v>886</v>
      </c>
      <c r="J123" s="321" t="s">
        <v>848</v>
      </c>
      <c r="K123" s="321" t="s">
        <v>223</v>
      </c>
      <c r="L123" s="225" t="s">
        <v>224</v>
      </c>
      <c r="M123" s="322"/>
      <c r="N123" s="322"/>
      <c r="O123" s="322"/>
      <c r="P123" s="322"/>
      <c r="Q123" s="322"/>
      <c r="R123" s="322">
        <v>835.6</v>
      </c>
      <c r="S123" s="322"/>
      <c r="T123" s="322"/>
      <c r="U123" s="322"/>
      <c r="V123" s="322"/>
      <c r="W123" s="322"/>
      <c r="X123" s="322"/>
      <c r="Y123" s="322"/>
      <c r="Z123" s="322"/>
      <c r="AA123" s="114"/>
    </row>
    <row r="124" spans="1:27" s="99" customFormat="1" ht="22.5">
      <c r="A124" s="528"/>
      <c r="B124" s="528"/>
      <c r="C124" s="528"/>
      <c r="D124" s="528"/>
      <c r="E124" s="528"/>
      <c r="F124" s="582"/>
      <c r="G124" s="582"/>
      <c r="H124" s="321" t="s">
        <v>63</v>
      </c>
      <c r="I124" s="321" t="s">
        <v>886</v>
      </c>
      <c r="J124" s="321" t="s">
        <v>848</v>
      </c>
      <c r="K124" s="321" t="s">
        <v>230</v>
      </c>
      <c r="L124" s="225" t="s">
        <v>224</v>
      </c>
      <c r="M124" s="322">
        <v>1</v>
      </c>
      <c r="N124" s="322">
        <v>1.4</v>
      </c>
      <c r="O124" s="322">
        <v>3.6</v>
      </c>
      <c r="P124" s="322">
        <v>3.1</v>
      </c>
      <c r="Q124" s="322">
        <v>7.4260000000000002</v>
      </c>
      <c r="R124" s="322"/>
      <c r="S124" s="322"/>
      <c r="T124" s="322"/>
      <c r="U124" s="322"/>
      <c r="V124" s="322"/>
      <c r="W124" s="322"/>
      <c r="X124" s="322"/>
      <c r="Y124" s="322"/>
      <c r="Z124" s="322"/>
      <c r="AA124" s="114"/>
    </row>
    <row r="125" spans="1:27" s="99" customFormat="1" ht="22.5">
      <c r="A125" s="516"/>
      <c r="B125" s="516"/>
      <c r="C125" s="516"/>
      <c r="D125" s="516"/>
      <c r="E125" s="516"/>
      <c r="F125" s="530"/>
      <c r="G125" s="530"/>
      <c r="H125" s="321" t="s">
        <v>67</v>
      </c>
      <c r="I125" s="321" t="s">
        <v>886</v>
      </c>
      <c r="J125" s="321" t="s">
        <v>848</v>
      </c>
      <c r="K125" s="321" t="s">
        <v>223</v>
      </c>
      <c r="L125" s="225" t="s">
        <v>224</v>
      </c>
      <c r="M125" s="322"/>
      <c r="N125" s="322"/>
      <c r="O125" s="322"/>
      <c r="P125" s="322"/>
      <c r="Q125" s="322"/>
      <c r="R125" s="322"/>
      <c r="S125" s="322"/>
      <c r="T125" s="322"/>
      <c r="U125" s="322"/>
      <c r="V125" s="322"/>
      <c r="W125" s="322"/>
      <c r="X125" s="322"/>
      <c r="Y125" s="322"/>
      <c r="Z125" s="322"/>
      <c r="AA125" s="114"/>
    </row>
    <row r="126" spans="1:27" s="99" customFormat="1" ht="22.5">
      <c r="A126" s="515" t="s">
        <v>736</v>
      </c>
      <c r="B126" s="515" t="s">
        <v>757</v>
      </c>
      <c r="C126" s="515" t="s">
        <v>869</v>
      </c>
      <c r="D126" s="515" t="s">
        <v>757</v>
      </c>
      <c r="E126" s="515" t="s">
        <v>757</v>
      </c>
      <c r="F126" s="529" t="s">
        <v>982</v>
      </c>
      <c r="G126" s="583" t="s">
        <v>117</v>
      </c>
      <c r="H126" s="321" t="s">
        <v>63</v>
      </c>
      <c r="I126" s="321" t="s">
        <v>886</v>
      </c>
      <c r="J126" s="321" t="s">
        <v>848</v>
      </c>
      <c r="K126" s="321" t="s">
        <v>230</v>
      </c>
      <c r="L126" s="225" t="s">
        <v>224</v>
      </c>
      <c r="M126" s="322"/>
      <c r="N126" s="322"/>
      <c r="O126" s="322"/>
      <c r="P126" s="322"/>
      <c r="Q126" s="322"/>
      <c r="R126" s="322">
        <v>9.8000000000000007</v>
      </c>
      <c r="S126" s="322"/>
      <c r="T126" s="322"/>
      <c r="U126" s="322"/>
      <c r="V126" s="322"/>
      <c r="W126" s="322"/>
      <c r="X126" s="322"/>
      <c r="Y126" s="322"/>
      <c r="Z126" s="322"/>
      <c r="AA126" s="114"/>
    </row>
    <row r="127" spans="1:27" s="99" customFormat="1" ht="22.5">
      <c r="A127" s="516"/>
      <c r="B127" s="516"/>
      <c r="C127" s="516"/>
      <c r="D127" s="516"/>
      <c r="E127" s="516"/>
      <c r="F127" s="530"/>
      <c r="G127" s="584"/>
      <c r="H127" s="321" t="s">
        <v>67</v>
      </c>
      <c r="I127" s="321" t="s">
        <v>886</v>
      </c>
      <c r="J127" s="321" t="s">
        <v>848</v>
      </c>
      <c r="K127" s="321" t="s">
        <v>230</v>
      </c>
      <c r="L127" s="225" t="s">
        <v>224</v>
      </c>
      <c r="M127" s="322"/>
      <c r="N127" s="322"/>
      <c r="O127" s="322"/>
      <c r="P127" s="322"/>
      <c r="Q127" s="322"/>
      <c r="R127" s="322"/>
      <c r="S127" s="322"/>
      <c r="T127" s="322"/>
      <c r="U127" s="322"/>
      <c r="V127" s="322"/>
      <c r="W127" s="322"/>
      <c r="X127" s="322"/>
      <c r="Y127" s="322"/>
      <c r="Z127" s="322"/>
      <c r="AA127" s="114"/>
    </row>
    <row r="128" spans="1:27" s="99" customFormat="1" ht="22.5">
      <c r="A128" s="515" t="s">
        <v>736</v>
      </c>
      <c r="B128" s="515" t="s">
        <v>757</v>
      </c>
      <c r="C128" s="515" t="s">
        <v>869</v>
      </c>
      <c r="D128" s="515" t="s">
        <v>780</v>
      </c>
      <c r="E128" s="515" t="s">
        <v>737</v>
      </c>
      <c r="F128" s="529" t="s">
        <v>531</v>
      </c>
      <c r="G128" s="199" t="s">
        <v>117</v>
      </c>
      <c r="H128" s="321" t="s">
        <v>63</v>
      </c>
      <c r="I128" s="321" t="s">
        <v>886</v>
      </c>
      <c r="J128" s="321" t="s">
        <v>904</v>
      </c>
      <c r="K128" s="321" t="s">
        <v>236</v>
      </c>
      <c r="L128" s="225" t="s">
        <v>224</v>
      </c>
      <c r="M128" s="322"/>
      <c r="N128" s="322"/>
      <c r="O128" s="322">
        <v>58.1</v>
      </c>
      <c r="P128" s="322">
        <v>269.60000000000002</v>
      </c>
      <c r="Q128" s="322">
        <v>309.96600000000001</v>
      </c>
      <c r="R128" s="322">
        <v>898.74</v>
      </c>
      <c r="S128" s="322">
        <v>1402.8</v>
      </c>
      <c r="T128" s="324"/>
      <c r="U128" s="324"/>
      <c r="V128" s="324"/>
      <c r="W128" s="324"/>
      <c r="X128" s="324"/>
      <c r="Y128" s="324"/>
      <c r="Z128" s="324"/>
      <c r="AA128" s="114"/>
    </row>
    <row r="129" spans="1:28" s="99" customFormat="1" ht="22.5">
      <c r="A129" s="516"/>
      <c r="B129" s="516"/>
      <c r="C129" s="516"/>
      <c r="D129" s="516"/>
      <c r="E129" s="516"/>
      <c r="F129" s="530"/>
      <c r="G129" s="199" t="s">
        <v>844</v>
      </c>
      <c r="H129" s="321" t="s">
        <v>67</v>
      </c>
      <c r="I129" s="321" t="s">
        <v>886</v>
      </c>
      <c r="J129" s="321" t="s">
        <v>904</v>
      </c>
      <c r="K129" s="321" t="s">
        <v>236</v>
      </c>
      <c r="L129" s="225" t="s">
        <v>224</v>
      </c>
      <c r="M129" s="322"/>
      <c r="N129" s="322"/>
      <c r="O129" s="322"/>
      <c r="P129" s="322"/>
      <c r="Q129" s="322"/>
      <c r="R129" s="322"/>
      <c r="S129" s="322"/>
      <c r="T129" s="322">
        <v>2042.4</v>
      </c>
      <c r="U129" s="322">
        <v>1972.5</v>
      </c>
      <c r="V129" s="322">
        <v>1785</v>
      </c>
      <c r="W129" s="322">
        <v>1785</v>
      </c>
      <c r="X129" s="322">
        <v>1785</v>
      </c>
      <c r="Y129" s="322">
        <f>X129*1.053</f>
        <v>1879.6049999999998</v>
      </c>
      <c r="Z129" s="322">
        <f>Y129*1.053</f>
        <v>1979.2240649999997</v>
      </c>
      <c r="AA129" s="114"/>
    </row>
    <row r="130" spans="1:28" s="99" customFormat="1" ht="21">
      <c r="A130" s="546" t="s">
        <v>736</v>
      </c>
      <c r="B130" s="546" t="s">
        <v>757</v>
      </c>
      <c r="C130" s="546" t="s">
        <v>883</v>
      </c>
      <c r="D130" s="546"/>
      <c r="E130" s="546"/>
      <c r="F130" s="585" t="s">
        <v>541</v>
      </c>
      <c r="G130" s="309" t="s">
        <v>117</v>
      </c>
      <c r="H130" s="310" t="s">
        <v>63</v>
      </c>
      <c r="I130" s="310" t="s">
        <v>886</v>
      </c>
      <c r="J130" s="310" t="s">
        <v>848</v>
      </c>
      <c r="K130" s="356" t="s">
        <v>238</v>
      </c>
      <c r="L130" s="329"/>
      <c r="M130" s="312">
        <f t="shared" ref="M130:S130" si="16">M136+M132+M134</f>
        <v>1160.3</v>
      </c>
      <c r="N130" s="312">
        <f t="shared" si="16"/>
        <v>1196.5999999999999</v>
      </c>
      <c r="O130" s="312">
        <f t="shared" si="16"/>
        <v>1263.9000000000001</v>
      </c>
      <c r="P130" s="312">
        <f t="shared" si="16"/>
        <v>1158.7</v>
      </c>
      <c r="Q130" s="312">
        <f t="shared" si="16"/>
        <v>1101.47</v>
      </c>
      <c r="R130" s="312">
        <f t="shared" si="16"/>
        <v>728.80400000000009</v>
      </c>
      <c r="S130" s="312">
        <f t="shared" si="16"/>
        <v>865.9</v>
      </c>
      <c r="T130" s="324"/>
      <c r="U130" s="324"/>
      <c r="V130" s="324"/>
      <c r="W130" s="324"/>
      <c r="X130" s="324"/>
      <c r="Y130" s="324"/>
      <c r="Z130" s="324"/>
      <c r="AA130" s="114"/>
    </row>
    <row r="131" spans="1:28" s="99" customFormat="1" ht="21">
      <c r="A131" s="548"/>
      <c r="B131" s="548"/>
      <c r="C131" s="548"/>
      <c r="D131" s="548"/>
      <c r="E131" s="548"/>
      <c r="F131" s="586"/>
      <c r="G131" s="309" t="s">
        <v>844</v>
      </c>
      <c r="H131" s="310" t="s">
        <v>67</v>
      </c>
      <c r="I131" s="310" t="s">
        <v>886</v>
      </c>
      <c r="J131" s="310" t="s">
        <v>848</v>
      </c>
      <c r="K131" s="356" t="s">
        <v>238</v>
      </c>
      <c r="L131" s="329"/>
      <c r="M131" s="312"/>
      <c r="N131" s="312"/>
      <c r="O131" s="312"/>
      <c r="P131" s="312"/>
      <c r="Q131" s="312"/>
      <c r="R131" s="312"/>
      <c r="S131" s="312"/>
      <c r="T131" s="312">
        <f t="shared" ref="T131:Z131" si="17">T137+T133+T135</f>
        <v>1042.4000000000001</v>
      </c>
      <c r="U131" s="312">
        <f t="shared" si="17"/>
        <v>977.90000000000009</v>
      </c>
      <c r="V131" s="312">
        <f t="shared" si="17"/>
        <v>1170</v>
      </c>
      <c r="W131" s="312">
        <f t="shared" si="17"/>
        <v>1170</v>
      </c>
      <c r="X131" s="312">
        <f t="shared" si="17"/>
        <v>1170</v>
      </c>
      <c r="Y131" s="312">
        <f t="shared" si="17"/>
        <v>1232.0099999999998</v>
      </c>
      <c r="Z131" s="312">
        <f t="shared" si="17"/>
        <v>1297.3065299999998</v>
      </c>
      <c r="AA131" s="114"/>
    </row>
    <row r="132" spans="1:28" s="99" customFormat="1" ht="22.5">
      <c r="A132" s="515" t="s">
        <v>736</v>
      </c>
      <c r="B132" s="515" t="s">
        <v>757</v>
      </c>
      <c r="C132" s="515" t="s">
        <v>883</v>
      </c>
      <c r="D132" s="515" t="s">
        <v>737</v>
      </c>
      <c r="E132" s="515" t="s">
        <v>757</v>
      </c>
      <c r="F132" s="529" t="s">
        <v>239</v>
      </c>
      <c r="G132" s="199" t="s">
        <v>117</v>
      </c>
      <c r="H132" s="321" t="s">
        <v>63</v>
      </c>
      <c r="I132" s="321" t="s">
        <v>886</v>
      </c>
      <c r="J132" s="321" t="s">
        <v>848</v>
      </c>
      <c r="K132" s="201" t="s">
        <v>240</v>
      </c>
      <c r="L132" s="225" t="s">
        <v>144</v>
      </c>
      <c r="M132" s="322">
        <v>498.8</v>
      </c>
      <c r="N132" s="322">
        <v>451.7</v>
      </c>
      <c r="O132" s="322">
        <v>515.70000000000005</v>
      </c>
      <c r="P132" s="322">
        <v>356</v>
      </c>
      <c r="Q132" s="322">
        <f>281.863</f>
        <v>281.863</v>
      </c>
      <c r="R132" s="322">
        <v>201.755</v>
      </c>
      <c r="S132" s="322">
        <v>225.3</v>
      </c>
      <c r="T132" s="324"/>
      <c r="U132" s="324"/>
      <c r="V132" s="324"/>
      <c r="W132" s="324"/>
      <c r="X132" s="324"/>
      <c r="Y132" s="324"/>
      <c r="Z132" s="324"/>
      <c r="AA132" s="114"/>
    </row>
    <row r="133" spans="1:28" s="99" customFormat="1" ht="27.75" customHeight="1">
      <c r="A133" s="516"/>
      <c r="B133" s="516"/>
      <c r="C133" s="516"/>
      <c r="D133" s="516"/>
      <c r="E133" s="516"/>
      <c r="F133" s="530"/>
      <c r="G133" s="199" t="s">
        <v>844</v>
      </c>
      <c r="H133" s="321" t="s">
        <v>67</v>
      </c>
      <c r="I133" s="321" t="s">
        <v>886</v>
      </c>
      <c r="J133" s="321" t="s">
        <v>848</v>
      </c>
      <c r="K133" s="201" t="s">
        <v>240</v>
      </c>
      <c r="L133" s="225" t="s">
        <v>144</v>
      </c>
      <c r="M133" s="322"/>
      <c r="N133" s="322"/>
      <c r="O133" s="322"/>
      <c r="P133" s="322"/>
      <c r="Q133" s="322"/>
      <c r="R133" s="322"/>
      <c r="S133" s="322"/>
      <c r="T133" s="322">
        <v>264.10000000000002</v>
      </c>
      <c r="U133" s="322">
        <v>273.10000000000002</v>
      </c>
      <c r="V133" s="322">
        <v>283</v>
      </c>
      <c r="W133" s="322">
        <v>283</v>
      </c>
      <c r="X133" s="322">
        <v>283</v>
      </c>
      <c r="Y133" s="322">
        <f>X133*1.053</f>
        <v>297.99899999999997</v>
      </c>
      <c r="Z133" s="322">
        <f>Y133*1.053</f>
        <v>313.79294699999997</v>
      </c>
      <c r="AA133" s="114"/>
      <c r="AB133" s="99" t="s">
        <v>248</v>
      </c>
    </row>
    <row r="134" spans="1:28" s="99" customFormat="1" ht="27.75" customHeight="1">
      <c r="A134" s="515" t="s">
        <v>736</v>
      </c>
      <c r="B134" s="515" t="s">
        <v>757</v>
      </c>
      <c r="C134" s="515" t="s">
        <v>883</v>
      </c>
      <c r="D134" s="515" t="s">
        <v>757</v>
      </c>
      <c r="E134" s="515" t="s">
        <v>757</v>
      </c>
      <c r="F134" s="529" t="s">
        <v>642</v>
      </c>
      <c r="G134" s="199" t="s">
        <v>117</v>
      </c>
      <c r="H134" s="321" t="s">
        <v>63</v>
      </c>
      <c r="I134" s="321" t="s">
        <v>886</v>
      </c>
      <c r="J134" s="321" t="s">
        <v>848</v>
      </c>
      <c r="K134" s="201" t="s">
        <v>241</v>
      </c>
      <c r="L134" s="225" t="s">
        <v>144</v>
      </c>
      <c r="M134" s="322">
        <v>661.5</v>
      </c>
      <c r="N134" s="322">
        <v>701.6</v>
      </c>
      <c r="O134" s="322">
        <v>703.6</v>
      </c>
      <c r="P134" s="322">
        <v>769.4</v>
      </c>
      <c r="Q134" s="322">
        <v>788.822</v>
      </c>
      <c r="R134" s="322">
        <v>506.49400000000003</v>
      </c>
      <c r="S134" s="322">
        <v>622.4</v>
      </c>
      <c r="T134" s="324"/>
      <c r="U134" s="324"/>
      <c r="V134" s="324"/>
      <c r="W134" s="324"/>
      <c r="X134" s="324"/>
      <c r="Y134" s="322"/>
      <c r="Z134" s="322"/>
      <c r="AA134" s="114"/>
    </row>
    <row r="135" spans="1:28" s="99" customFormat="1" ht="22.5">
      <c r="A135" s="516"/>
      <c r="B135" s="516"/>
      <c r="C135" s="516"/>
      <c r="D135" s="516"/>
      <c r="E135" s="516"/>
      <c r="F135" s="530"/>
      <c r="G135" s="199" t="s">
        <v>844</v>
      </c>
      <c r="H135" s="321" t="s">
        <v>67</v>
      </c>
      <c r="I135" s="321" t="s">
        <v>886</v>
      </c>
      <c r="J135" s="321" t="s">
        <v>848</v>
      </c>
      <c r="K135" s="201" t="s">
        <v>241</v>
      </c>
      <c r="L135" s="225" t="s">
        <v>144</v>
      </c>
      <c r="M135" s="322"/>
      <c r="N135" s="322"/>
      <c r="O135" s="322"/>
      <c r="P135" s="322"/>
      <c r="Q135" s="322"/>
      <c r="R135" s="322"/>
      <c r="S135" s="322"/>
      <c r="T135" s="322">
        <v>771.9</v>
      </c>
      <c r="U135" s="322">
        <v>681</v>
      </c>
      <c r="V135" s="322">
        <v>856</v>
      </c>
      <c r="W135" s="322">
        <v>856</v>
      </c>
      <c r="X135" s="322">
        <v>856</v>
      </c>
      <c r="Y135" s="322">
        <f>X135*1.053</f>
        <v>901.36799999999994</v>
      </c>
      <c r="Z135" s="322">
        <f>Y135*1.053</f>
        <v>949.14050399999985</v>
      </c>
      <c r="AA135" s="114"/>
    </row>
    <row r="136" spans="1:28" s="99" customFormat="1" ht="22.5" customHeight="1">
      <c r="A136" s="515" t="s">
        <v>736</v>
      </c>
      <c r="B136" s="515" t="s">
        <v>757</v>
      </c>
      <c r="C136" s="515" t="s">
        <v>883</v>
      </c>
      <c r="D136" s="515" t="s">
        <v>780</v>
      </c>
      <c r="E136" s="515" t="s">
        <v>757</v>
      </c>
      <c r="F136" s="529" t="s">
        <v>545</v>
      </c>
      <c r="G136" s="199" t="s">
        <v>117</v>
      </c>
      <c r="H136" s="321" t="s">
        <v>63</v>
      </c>
      <c r="I136" s="321" t="s">
        <v>886</v>
      </c>
      <c r="J136" s="321" t="s">
        <v>848</v>
      </c>
      <c r="K136" s="201" t="s">
        <v>242</v>
      </c>
      <c r="L136" s="225" t="s">
        <v>144</v>
      </c>
      <c r="M136" s="322"/>
      <c r="N136" s="322">
        <v>43.3</v>
      </c>
      <c r="O136" s="322">
        <v>44.6</v>
      </c>
      <c r="P136" s="322">
        <v>33.299999999999997</v>
      </c>
      <c r="Q136" s="322">
        <v>30.785</v>
      </c>
      <c r="R136" s="322">
        <v>20.555</v>
      </c>
      <c r="S136" s="322">
        <v>18.2</v>
      </c>
      <c r="T136" s="324"/>
      <c r="U136" s="324"/>
      <c r="V136" s="324"/>
      <c r="W136" s="324"/>
      <c r="X136" s="324"/>
      <c r="Y136" s="324"/>
      <c r="Z136" s="324"/>
      <c r="AA136" s="114"/>
    </row>
    <row r="137" spans="1:28" s="99" customFormat="1" ht="33.75" customHeight="1">
      <c r="A137" s="516"/>
      <c r="B137" s="516"/>
      <c r="C137" s="516"/>
      <c r="D137" s="516"/>
      <c r="E137" s="516"/>
      <c r="F137" s="530"/>
      <c r="G137" s="199" t="s">
        <v>844</v>
      </c>
      <c r="H137" s="321" t="s">
        <v>67</v>
      </c>
      <c r="I137" s="321" t="s">
        <v>886</v>
      </c>
      <c r="J137" s="321" t="s">
        <v>848</v>
      </c>
      <c r="K137" s="201" t="s">
        <v>242</v>
      </c>
      <c r="L137" s="225" t="s">
        <v>144</v>
      </c>
      <c r="M137" s="322"/>
      <c r="N137" s="322"/>
      <c r="O137" s="322"/>
      <c r="P137" s="322"/>
      <c r="Q137" s="322"/>
      <c r="R137" s="322"/>
      <c r="S137" s="322"/>
      <c r="T137" s="322">
        <v>6.4</v>
      </c>
      <c r="U137" s="322">
        <v>23.8</v>
      </c>
      <c r="V137" s="322">
        <v>31</v>
      </c>
      <c r="W137" s="322">
        <v>31</v>
      </c>
      <c r="X137" s="322">
        <v>31</v>
      </c>
      <c r="Y137" s="322">
        <f>X137*1.053</f>
        <v>32.643000000000001</v>
      </c>
      <c r="Z137" s="322">
        <f>Y137*1.053</f>
        <v>34.373078999999997</v>
      </c>
      <c r="AA137" s="114" t="s">
        <v>253</v>
      </c>
    </row>
    <row r="138" spans="1:28" s="99" customFormat="1" ht="22.5">
      <c r="A138" s="209" t="s">
        <v>736</v>
      </c>
      <c r="B138" s="209" t="s">
        <v>757</v>
      </c>
      <c r="C138" s="209" t="s">
        <v>886</v>
      </c>
      <c r="D138" s="209"/>
      <c r="E138" s="209"/>
      <c r="F138" s="199" t="s">
        <v>243</v>
      </c>
      <c r="G138" s="199" t="s">
        <v>117</v>
      </c>
      <c r="H138" s="321" t="s">
        <v>63</v>
      </c>
      <c r="I138" s="321" t="s">
        <v>886</v>
      </c>
      <c r="J138" s="321" t="s">
        <v>848</v>
      </c>
      <c r="K138" s="201" t="s">
        <v>244</v>
      </c>
      <c r="L138" s="225" t="s">
        <v>144</v>
      </c>
      <c r="M138" s="322"/>
      <c r="N138" s="322"/>
      <c r="O138" s="322"/>
      <c r="P138" s="322">
        <f>P139</f>
        <v>872.90000000000009</v>
      </c>
      <c r="Q138" s="322"/>
      <c r="R138" s="322"/>
      <c r="S138" s="322"/>
      <c r="T138" s="322"/>
      <c r="U138" s="322"/>
      <c r="V138" s="322"/>
      <c r="W138" s="322"/>
      <c r="X138" s="322"/>
      <c r="Y138" s="322"/>
      <c r="Z138" s="322"/>
      <c r="AA138" s="114"/>
    </row>
    <row r="139" spans="1:28" s="99" customFormat="1" ht="24" customHeight="1">
      <c r="A139" s="209" t="s">
        <v>736</v>
      </c>
      <c r="B139" s="209" t="s">
        <v>757</v>
      </c>
      <c r="C139" s="209" t="s">
        <v>886</v>
      </c>
      <c r="D139" s="209" t="s">
        <v>737</v>
      </c>
      <c r="E139" s="209" t="s">
        <v>737</v>
      </c>
      <c r="F139" s="199" t="s">
        <v>245</v>
      </c>
      <c r="G139" s="199" t="s">
        <v>117</v>
      </c>
      <c r="H139" s="321" t="s">
        <v>63</v>
      </c>
      <c r="I139" s="321" t="s">
        <v>886</v>
      </c>
      <c r="J139" s="321" t="s">
        <v>848</v>
      </c>
      <c r="K139" s="201" t="s">
        <v>246</v>
      </c>
      <c r="L139" s="225" t="s">
        <v>224</v>
      </c>
      <c r="M139" s="322"/>
      <c r="N139" s="322"/>
      <c r="O139" s="322"/>
      <c r="P139" s="322">
        <f>864.2+8.7</f>
        <v>872.90000000000009</v>
      </c>
      <c r="Q139" s="322"/>
      <c r="R139" s="322"/>
      <c r="S139" s="322"/>
      <c r="T139" s="322"/>
      <c r="U139" s="322"/>
      <c r="V139" s="322"/>
      <c r="W139" s="322"/>
      <c r="X139" s="322"/>
      <c r="Y139" s="322"/>
      <c r="Z139" s="322"/>
      <c r="AA139" s="114"/>
    </row>
    <row r="140" spans="1:28" s="99" customFormat="1" ht="24" customHeight="1">
      <c r="A140" s="357" t="s">
        <v>736</v>
      </c>
      <c r="B140" s="546" t="s">
        <v>757</v>
      </c>
      <c r="C140" s="546" t="s">
        <v>895</v>
      </c>
      <c r="D140" s="546"/>
      <c r="E140" s="546"/>
      <c r="F140" s="587" t="s">
        <v>157</v>
      </c>
      <c r="G140" s="309" t="s">
        <v>117</v>
      </c>
      <c r="H140" s="310" t="s">
        <v>63</v>
      </c>
      <c r="I140" s="310" t="s">
        <v>886</v>
      </c>
      <c r="J140" s="310" t="s">
        <v>848</v>
      </c>
      <c r="K140" s="310" t="s">
        <v>247</v>
      </c>
      <c r="L140" s="358" t="s">
        <v>135</v>
      </c>
      <c r="M140" s="312"/>
      <c r="N140" s="312">
        <v>6806.9</v>
      </c>
      <c r="O140" s="312">
        <v>733.7</v>
      </c>
      <c r="P140" s="312">
        <v>948.2</v>
      </c>
      <c r="Q140" s="312">
        <v>22035.991000000002</v>
      </c>
      <c r="R140" s="312">
        <f>R148+R150+9089.5</f>
        <v>9403.5</v>
      </c>
      <c r="S140" s="312">
        <f>S144+S146</f>
        <v>259.10000000000002</v>
      </c>
      <c r="T140" s="324"/>
      <c r="U140" s="324"/>
      <c r="V140" s="324"/>
      <c r="W140" s="324"/>
      <c r="X140" s="324"/>
      <c r="Y140" s="324"/>
      <c r="Z140" s="324"/>
      <c r="AA140" s="114"/>
    </row>
    <row r="141" spans="1:28" s="99" customFormat="1" ht="24.75" customHeight="1">
      <c r="A141" s="359"/>
      <c r="B141" s="548"/>
      <c r="C141" s="548"/>
      <c r="D141" s="548"/>
      <c r="E141" s="548"/>
      <c r="F141" s="588"/>
      <c r="G141" s="309" t="s">
        <v>844</v>
      </c>
      <c r="H141" s="310" t="s">
        <v>67</v>
      </c>
      <c r="I141" s="310" t="s">
        <v>886</v>
      </c>
      <c r="J141" s="310" t="s">
        <v>848</v>
      </c>
      <c r="K141" s="310" t="s">
        <v>247</v>
      </c>
      <c r="L141" s="358" t="s">
        <v>135</v>
      </c>
      <c r="M141" s="312"/>
      <c r="N141" s="312"/>
      <c r="O141" s="312"/>
      <c r="P141" s="312"/>
      <c r="Q141" s="312"/>
      <c r="R141" s="312"/>
      <c r="S141" s="312"/>
      <c r="T141" s="312">
        <f>T147</f>
        <v>0</v>
      </c>
      <c r="U141" s="312">
        <f t="shared" ref="U141:Z141" si="18">U147+U155</f>
        <v>9096.7999999999993</v>
      </c>
      <c r="V141" s="312">
        <f t="shared" si="18"/>
        <v>359</v>
      </c>
      <c r="W141" s="312">
        <f t="shared" si="18"/>
        <v>359</v>
      </c>
      <c r="X141" s="312">
        <f t="shared" si="18"/>
        <v>359</v>
      </c>
      <c r="Y141" s="312">
        <f t="shared" si="18"/>
        <v>377.80439999999999</v>
      </c>
      <c r="Z141" s="312">
        <f t="shared" si="18"/>
        <v>397.60543319999994</v>
      </c>
      <c r="AA141" s="114"/>
    </row>
    <row r="142" spans="1:28" s="99" customFormat="1" ht="24.75" customHeight="1">
      <c r="A142" s="311" t="s">
        <v>736</v>
      </c>
      <c r="B142" s="311" t="s">
        <v>757</v>
      </c>
      <c r="C142" s="311" t="s">
        <v>895</v>
      </c>
      <c r="D142" s="311"/>
      <c r="E142" s="311"/>
      <c r="F142" s="589"/>
      <c r="G142" s="309" t="s">
        <v>113</v>
      </c>
      <c r="H142" s="310" t="s">
        <v>114</v>
      </c>
      <c r="I142" s="310" t="s">
        <v>886</v>
      </c>
      <c r="J142" s="310" t="s">
        <v>848</v>
      </c>
      <c r="K142" s="310" t="s">
        <v>249</v>
      </c>
      <c r="L142" s="358" t="s">
        <v>250</v>
      </c>
      <c r="M142" s="312"/>
      <c r="N142" s="312"/>
      <c r="O142" s="312"/>
      <c r="P142" s="312"/>
      <c r="Q142" s="312"/>
      <c r="R142" s="312">
        <f>R157+R158+R159</f>
        <v>150981.9</v>
      </c>
      <c r="S142" s="312">
        <f>S157+S158+S159</f>
        <v>477.5</v>
      </c>
      <c r="T142" s="312">
        <f>T157+T158+T159+T162</f>
        <v>4114.8</v>
      </c>
      <c r="U142" s="312">
        <f t="shared" ref="U142:Z142" si="19">U157+U158+U159+U162+U153+U154</f>
        <v>35026.300000000003</v>
      </c>
      <c r="V142" s="312">
        <f t="shared" si="19"/>
        <v>0</v>
      </c>
      <c r="W142" s="312">
        <f t="shared" si="19"/>
        <v>0</v>
      </c>
      <c r="X142" s="312">
        <f t="shared" si="19"/>
        <v>0</v>
      </c>
      <c r="Y142" s="312">
        <f t="shared" si="19"/>
        <v>0</v>
      </c>
      <c r="Z142" s="312">
        <f t="shared" si="19"/>
        <v>0</v>
      </c>
      <c r="AA142" s="114"/>
    </row>
    <row r="143" spans="1:28" s="99" customFormat="1" ht="24.75" customHeight="1">
      <c r="A143" s="209" t="s">
        <v>736</v>
      </c>
      <c r="B143" s="209" t="s">
        <v>757</v>
      </c>
      <c r="C143" s="209" t="s">
        <v>895</v>
      </c>
      <c r="D143" s="209"/>
      <c r="E143" s="209"/>
      <c r="F143" s="199" t="s">
        <v>157</v>
      </c>
      <c r="G143" s="199" t="s">
        <v>117</v>
      </c>
      <c r="H143" s="321" t="s">
        <v>63</v>
      </c>
      <c r="I143" s="321" t="s">
        <v>886</v>
      </c>
      <c r="J143" s="321" t="s">
        <v>848</v>
      </c>
      <c r="K143" s="321" t="s">
        <v>251</v>
      </c>
      <c r="L143" s="225" t="s">
        <v>135</v>
      </c>
      <c r="M143" s="322"/>
      <c r="N143" s="322"/>
      <c r="O143" s="322"/>
      <c r="P143" s="322"/>
      <c r="Q143" s="322">
        <v>45.658000000000001</v>
      </c>
      <c r="R143" s="322"/>
      <c r="S143" s="322"/>
      <c r="T143" s="322"/>
      <c r="U143" s="322"/>
      <c r="V143" s="322"/>
      <c r="W143" s="322"/>
      <c r="X143" s="322"/>
      <c r="Y143" s="322"/>
      <c r="Z143" s="322"/>
      <c r="AA143" s="114"/>
    </row>
    <row r="144" spans="1:28" s="99" customFormat="1" ht="24.75" customHeight="1">
      <c r="A144" s="515" t="s">
        <v>736</v>
      </c>
      <c r="B144" s="515" t="s">
        <v>757</v>
      </c>
      <c r="C144" s="515" t="s">
        <v>895</v>
      </c>
      <c r="D144" s="515"/>
      <c r="E144" s="515"/>
      <c r="F144" s="529" t="s">
        <v>157</v>
      </c>
      <c r="G144" s="199" t="s">
        <v>117</v>
      </c>
      <c r="H144" s="321" t="s">
        <v>63</v>
      </c>
      <c r="I144" s="321" t="s">
        <v>886</v>
      </c>
      <c r="J144" s="321" t="s">
        <v>848</v>
      </c>
      <c r="K144" s="321" t="s">
        <v>252</v>
      </c>
      <c r="L144" s="225" t="s">
        <v>135</v>
      </c>
      <c r="M144" s="322"/>
      <c r="N144" s="322"/>
      <c r="O144" s="322"/>
      <c r="P144" s="322"/>
      <c r="Q144" s="322">
        <v>11721.2</v>
      </c>
      <c r="R144" s="322"/>
      <c r="S144" s="322">
        <v>259.10000000000002</v>
      </c>
      <c r="T144" s="324"/>
      <c r="U144" s="324"/>
      <c r="V144" s="324"/>
      <c r="W144" s="324"/>
      <c r="X144" s="324"/>
      <c r="Y144" s="324"/>
      <c r="Z144" s="324"/>
      <c r="AA144" s="114"/>
    </row>
    <row r="145" spans="1:29" s="99" customFormat="1" ht="22.5">
      <c r="A145" s="516"/>
      <c r="B145" s="516"/>
      <c r="C145" s="516"/>
      <c r="D145" s="516"/>
      <c r="E145" s="516"/>
      <c r="F145" s="530"/>
      <c r="G145" s="199" t="s">
        <v>844</v>
      </c>
      <c r="H145" s="321" t="s">
        <v>67</v>
      </c>
      <c r="I145" s="321" t="s">
        <v>886</v>
      </c>
      <c r="J145" s="321" t="s">
        <v>848</v>
      </c>
      <c r="K145" s="321" t="s">
        <v>252</v>
      </c>
      <c r="L145" s="225" t="s">
        <v>135</v>
      </c>
      <c r="M145" s="322"/>
      <c r="N145" s="322"/>
      <c r="O145" s="322"/>
      <c r="P145" s="322"/>
      <c r="Q145" s="322"/>
      <c r="R145" s="322"/>
      <c r="S145" s="322"/>
      <c r="T145" s="322"/>
      <c r="U145" s="322"/>
      <c r="V145" s="322"/>
      <c r="W145" s="322"/>
      <c r="X145" s="322"/>
      <c r="Y145" s="322"/>
      <c r="Z145" s="322"/>
      <c r="AA145" s="114"/>
    </row>
    <row r="146" spans="1:29" s="99" customFormat="1" ht="22.5">
      <c r="A146" s="515" t="s">
        <v>736</v>
      </c>
      <c r="B146" s="515" t="s">
        <v>757</v>
      </c>
      <c r="C146" s="515" t="s">
        <v>895</v>
      </c>
      <c r="D146" s="515"/>
      <c r="E146" s="515"/>
      <c r="F146" s="529" t="s">
        <v>157</v>
      </c>
      <c r="G146" s="199" t="s">
        <v>117</v>
      </c>
      <c r="H146" s="321" t="s">
        <v>63</v>
      </c>
      <c r="I146" s="321" t="s">
        <v>886</v>
      </c>
      <c r="J146" s="321" t="s">
        <v>848</v>
      </c>
      <c r="K146" s="321" t="s">
        <v>254</v>
      </c>
      <c r="L146" s="225" t="s">
        <v>255</v>
      </c>
      <c r="M146" s="322"/>
      <c r="N146" s="322"/>
      <c r="O146" s="322"/>
      <c r="P146" s="322"/>
      <c r="Q146" s="322"/>
      <c r="R146" s="322"/>
      <c r="S146" s="322">
        <v>0</v>
      </c>
      <c r="T146" s="324"/>
      <c r="U146" s="324"/>
      <c r="V146" s="324"/>
      <c r="W146" s="324"/>
      <c r="X146" s="324"/>
      <c r="Y146" s="324"/>
      <c r="Z146" s="324"/>
      <c r="AA146" s="114"/>
    </row>
    <row r="147" spans="1:29" s="99" customFormat="1" ht="22.5">
      <c r="A147" s="516"/>
      <c r="B147" s="516"/>
      <c r="C147" s="516"/>
      <c r="D147" s="516"/>
      <c r="E147" s="516"/>
      <c r="F147" s="530"/>
      <c r="G147" s="199" t="s">
        <v>844</v>
      </c>
      <c r="H147" s="321" t="s">
        <v>67</v>
      </c>
      <c r="I147" s="321" t="s">
        <v>886</v>
      </c>
      <c r="J147" s="321" t="s">
        <v>848</v>
      </c>
      <c r="K147" s="321" t="s">
        <v>256</v>
      </c>
      <c r="L147" s="225" t="s">
        <v>255</v>
      </c>
      <c r="M147" s="322"/>
      <c r="N147" s="322"/>
      <c r="O147" s="322"/>
      <c r="P147" s="322"/>
      <c r="Q147" s="322"/>
      <c r="R147" s="322"/>
      <c r="S147" s="322"/>
      <c r="T147" s="322"/>
      <c r="U147" s="322"/>
      <c r="V147" s="322">
        <v>4.2</v>
      </c>
      <c r="W147" s="322">
        <v>4.2</v>
      </c>
      <c r="X147" s="322">
        <v>4.2</v>
      </c>
      <c r="Y147" s="322">
        <v>4.2</v>
      </c>
      <c r="Z147" s="322">
        <v>4.2</v>
      </c>
      <c r="AA147" s="114"/>
    </row>
    <row r="148" spans="1:29" s="99" customFormat="1" ht="22.5">
      <c r="A148" s="515" t="s">
        <v>736</v>
      </c>
      <c r="B148" s="515" t="s">
        <v>757</v>
      </c>
      <c r="C148" s="515" t="s">
        <v>895</v>
      </c>
      <c r="D148" s="515"/>
      <c r="E148" s="515"/>
      <c r="F148" s="529" t="s">
        <v>157</v>
      </c>
      <c r="G148" s="199" t="s">
        <v>117</v>
      </c>
      <c r="H148" s="321" t="s">
        <v>63</v>
      </c>
      <c r="I148" s="321" t="s">
        <v>886</v>
      </c>
      <c r="J148" s="321" t="s">
        <v>848</v>
      </c>
      <c r="K148" s="321" t="s">
        <v>257</v>
      </c>
      <c r="L148" s="225" t="s">
        <v>135</v>
      </c>
      <c r="M148" s="322"/>
      <c r="N148" s="322"/>
      <c r="O148" s="322"/>
      <c r="P148" s="322"/>
      <c r="Q148" s="322"/>
      <c r="R148" s="322">
        <v>110</v>
      </c>
      <c r="S148" s="322"/>
      <c r="T148" s="324"/>
      <c r="U148" s="324"/>
      <c r="V148" s="324"/>
      <c r="W148" s="324"/>
      <c r="X148" s="324"/>
      <c r="Y148" s="324"/>
      <c r="Z148" s="324"/>
      <c r="AA148" s="114"/>
    </row>
    <row r="149" spans="1:29" s="99" customFormat="1" ht="22.5">
      <c r="A149" s="516"/>
      <c r="B149" s="516"/>
      <c r="C149" s="516"/>
      <c r="D149" s="516"/>
      <c r="E149" s="516"/>
      <c r="F149" s="530"/>
      <c r="G149" s="199" t="s">
        <v>844</v>
      </c>
      <c r="H149" s="321" t="s">
        <v>67</v>
      </c>
      <c r="I149" s="321" t="s">
        <v>886</v>
      </c>
      <c r="J149" s="321" t="s">
        <v>848</v>
      </c>
      <c r="K149" s="321" t="s">
        <v>257</v>
      </c>
      <c r="L149" s="225" t="s">
        <v>135</v>
      </c>
      <c r="M149" s="322"/>
      <c r="N149" s="322"/>
      <c r="O149" s="322"/>
      <c r="P149" s="322"/>
      <c r="Q149" s="322"/>
      <c r="R149" s="322"/>
      <c r="S149" s="322"/>
      <c r="T149" s="322"/>
      <c r="U149" s="322"/>
      <c r="V149" s="322"/>
      <c r="W149" s="322"/>
      <c r="X149" s="322"/>
      <c r="Y149" s="322"/>
      <c r="Z149" s="322"/>
      <c r="AA149" s="114"/>
    </row>
    <row r="150" spans="1:29" s="99" customFormat="1" ht="22.5">
      <c r="A150" s="515" t="s">
        <v>736</v>
      </c>
      <c r="B150" s="515" t="s">
        <v>757</v>
      </c>
      <c r="C150" s="515" t="s">
        <v>895</v>
      </c>
      <c r="D150" s="515"/>
      <c r="E150" s="515"/>
      <c r="F150" s="529" t="s">
        <v>157</v>
      </c>
      <c r="G150" s="199" t="s">
        <v>117</v>
      </c>
      <c r="H150" s="321" t="s">
        <v>63</v>
      </c>
      <c r="I150" s="321" t="s">
        <v>859</v>
      </c>
      <c r="J150" s="321" t="s">
        <v>904</v>
      </c>
      <c r="K150" s="321" t="s">
        <v>257</v>
      </c>
      <c r="L150" s="225" t="s">
        <v>135</v>
      </c>
      <c r="M150" s="322"/>
      <c r="N150" s="322"/>
      <c r="O150" s="322"/>
      <c r="P150" s="322"/>
      <c r="Q150" s="322"/>
      <c r="R150" s="322">
        <v>204</v>
      </c>
      <c r="S150" s="322"/>
      <c r="T150" s="324"/>
      <c r="U150" s="324"/>
      <c r="V150" s="324"/>
      <c r="W150" s="324"/>
      <c r="X150" s="324"/>
      <c r="Y150" s="324"/>
      <c r="Z150" s="324"/>
      <c r="AA150" s="114"/>
    </row>
    <row r="151" spans="1:29" s="99" customFormat="1" ht="22.5">
      <c r="A151" s="516"/>
      <c r="B151" s="516"/>
      <c r="C151" s="516"/>
      <c r="D151" s="516"/>
      <c r="E151" s="516"/>
      <c r="F151" s="530"/>
      <c r="G151" s="199" t="s">
        <v>844</v>
      </c>
      <c r="H151" s="321" t="s">
        <v>67</v>
      </c>
      <c r="I151" s="321" t="s">
        <v>859</v>
      </c>
      <c r="J151" s="321" t="s">
        <v>904</v>
      </c>
      <c r="K151" s="321" t="s">
        <v>257</v>
      </c>
      <c r="L151" s="225" t="s">
        <v>135</v>
      </c>
      <c r="M151" s="322"/>
      <c r="N151" s="322"/>
      <c r="O151" s="322"/>
      <c r="P151" s="322"/>
      <c r="Q151" s="322"/>
      <c r="R151" s="322"/>
      <c r="S151" s="322"/>
      <c r="T151" s="322"/>
      <c r="U151" s="322"/>
      <c r="V151" s="322"/>
      <c r="W151" s="322"/>
      <c r="X151" s="322"/>
      <c r="Y151" s="322"/>
      <c r="Z151" s="322"/>
      <c r="AA151" s="114"/>
    </row>
    <row r="152" spans="1:29" s="99" customFormat="1" ht="78.75">
      <c r="A152" s="209" t="s">
        <v>736</v>
      </c>
      <c r="B152" s="209" t="s">
        <v>757</v>
      </c>
      <c r="C152" s="209" t="s">
        <v>895</v>
      </c>
      <c r="D152" s="209"/>
      <c r="E152" s="209"/>
      <c r="F152" s="199" t="s">
        <v>157</v>
      </c>
      <c r="G152" s="199" t="s">
        <v>113</v>
      </c>
      <c r="H152" s="321" t="s">
        <v>86</v>
      </c>
      <c r="I152" s="321" t="s">
        <v>886</v>
      </c>
      <c r="J152" s="321" t="s">
        <v>848</v>
      </c>
      <c r="K152" s="321" t="s">
        <v>252</v>
      </c>
      <c r="L152" s="225" t="s">
        <v>258</v>
      </c>
      <c r="M152" s="322"/>
      <c r="N152" s="322"/>
      <c r="O152" s="322"/>
      <c r="P152" s="322"/>
      <c r="Q152" s="322">
        <v>3855.1</v>
      </c>
      <c r="R152" s="322"/>
      <c r="S152" s="322"/>
      <c r="T152" s="322"/>
      <c r="U152" s="322"/>
      <c r="V152" s="322"/>
      <c r="W152" s="322"/>
      <c r="X152" s="322"/>
      <c r="Y152" s="322"/>
      <c r="Z152" s="322"/>
      <c r="AA152" s="114"/>
    </row>
    <row r="153" spans="1:29" s="99" customFormat="1" ht="21.6" customHeight="1">
      <c r="A153" s="209" t="s">
        <v>736</v>
      </c>
      <c r="B153" s="209" t="s">
        <v>757</v>
      </c>
      <c r="C153" s="209" t="s">
        <v>895</v>
      </c>
      <c r="D153" s="209"/>
      <c r="E153" s="209"/>
      <c r="F153" s="199" t="s">
        <v>259</v>
      </c>
      <c r="G153" s="199" t="s">
        <v>113</v>
      </c>
      <c r="H153" s="321" t="s">
        <v>114</v>
      </c>
      <c r="I153" s="321" t="s">
        <v>886</v>
      </c>
      <c r="J153" s="321" t="s">
        <v>848</v>
      </c>
      <c r="K153" s="321" t="s">
        <v>260</v>
      </c>
      <c r="L153" s="225" t="s">
        <v>258</v>
      </c>
      <c r="M153" s="322"/>
      <c r="N153" s="322"/>
      <c r="O153" s="322"/>
      <c r="P153" s="322"/>
      <c r="Q153" s="322">
        <v>3855.1</v>
      </c>
      <c r="R153" s="322"/>
      <c r="S153" s="322"/>
      <c r="T153" s="322"/>
      <c r="U153" s="322">
        <f>419.9+461.6</f>
        <v>881.5</v>
      </c>
      <c r="V153" s="322"/>
      <c r="W153" s="322"/>
      <c r="X153" s="322"/>
      <c r="Y153" s="322"/>
      <c r="Z153" s="322"/>
      <c r="AA153" s="114"/>
    </row>
    <row r="154" spans="1:29" s="99" customFormat="1" ht="78.75">
      <c r="A154" s="515" t="s">
        <v>736</v>
      </c>
      <c r="B154" s="515" t="s">
        <v>757</v>
      </c>
      <c r="C154" s="515" t="s">
        <v>895</v>
      </c>
      <c r="D154" s="515"/>
      <c r="E154" s="515"/>
      <c r="F154" s="529" t="s">
        <v>261</v>
      </c>
      <c r="G154" s="199" t="s">
        <v>113</v>
      </c>
      <c r="H154" s="321" t="s">
        <v>114</v>
      </c>
      <c r="I154" s="321" t="s">
        <v>886</v>
      </c>
      <c r="J154" s="321" t="s">
        <v>848</v>
      </c>
      <c r="K154" s="321" t="s">
        <v>262</v>
      </c>
      <c r="L154" s="225" t="s">
        <v>258</v>
      </c>
      <c r="M154" s="322"/>
      <c r="N154" s="322"/>
      <c r="O154" s="322"/>
      <c r="P154" s="322"/>
      <c r="Q154" s="322">
        <v>3855.1</v>
      </c>
      <c r="R154" s="322"/>
      <c r="S154" s="322"/>
      <c r="T154" s="322"/>
      <c r="U154" s="322">
        <v>34144.800000000003</v>
      </c>
      <c r="V154" s="322"/>
      <c r="W154" s="322"/>
      <c r="X154" s="322"/>
      <c r="Y154" s="322"/>
      <c r="Z154" s="322"/>
      <c r="AA154" s="114"/>
    </row>
    <row r="155" spans="1:29" s="99" customFormat="1" ht="22.5">
      <c r="A155" s="516"/>
      <c r="B155" s="516"/>
      <c r="C155" s="516"/>
      <c r="D155" s="516"/>
      <c r="E155" s="516"/>
      <c r="F155" s="530"/>
      <c r="G155" s="199" t="s">
        <v>844</v>
      </c>
      <c r="H155" s="321" t="s">
        <v>67</v>
      </c>
      <c r="I155" s="321" t="s">
        <v>886</v>
      </c>
      <c r="J155" s="321" t="s">
        <v>848</v>
      </c>
      <c r="K155" s="321" t="s">
        <v>262</v>
      </c>
      <c r="L155" s="225" t="s">
        <v>258</v>
      </c>
      <c r="M155" s="322"/>
      <c r="N155" s="322"/>
      <c r="O155" s="322"/>
      <c r="P155" s="322"/>
      <c r="Q155" s="322"/>
      <c r="R155" s="322"/>
      <c r="S155" s="322"/>
      <c r="T155" s="322"/>
      <c r="U155" s="322">
        <v>9096.7999999999993</v>
      </c>
      <c r="V155" s="322">
        <v>354.8</v>
      </c>
      <c r="W155" s="322">
        <v>354.8</v>
      </c>
      <c r="X155" s="322">
        <v>354.8</v>
      </c>
      <c r="Y155" s="322">
        <f>X155*1.053</f>
        <v>373.6044</v>
      </c>
      <c r="Z155" s="322">
        <f>Y155*1.053</f>
        <v>393.40543319999995</v>
      </c>
      <c r="AA155" s="114"/>
      <c r="AC155" s="105">
        <f>U158-AC158</f>
        <v>-34582.6</v>
      </c>
    </row>
    <row r="156" spans="1:29" s="99" customFormat="1" ht="78.75">
      <c r="A156" s="209" t="s">
        <v>736</v>
      </c>
      <c r="B156" s="209" t="s">
        <v>757</v>
      </c>
      <c r="C156" s="209" t="s">
        <v>904</v>
      </c>
      <c r="D156" s="209"/>
      <c r="E156" s="209"/>
      <c r="F156" s="199" t="s">
        <v>263</v>
      </c>
      <c r="G156" s="199" t="s">
        <v>113</v>
      </c>
      <c r="H156" s="321" t="s">
        <v>86</v>
      </c>
      <c r="I156" s="321" t="s">
        <v>886</v>
      </c>
      <c r="J156" s="321" t="s">
        <v>848</v>
      </c>
      <c r="K156" s="321" t="s">
        <v>264</v>
      </c>
      <c r="L156" s="225" t="s">
        <v>144</v>
      </c>
      <c r="M156" s="322"/>
      <c r="N156" s="322"/>
      <c r="O156" s="322">
        <v>3851.9</v>
      </c>
      <c r="P156" s="322">
        <v>25741.9</v>
      </c>
      <c r="Q156" s="322">
        <v>0</v>
      </c>
      <c r="R156" s="322">
        <v>0</v>
      </c>
      <c r="S156" s="322"/>
      <c r="T156" s="322"/>
      <c r="U156" s="322"/>
      <c r="V156" s="322"/>
      <c r="W156" s="322"/>
      <c r="X156" s="322"/>
      <c r="Y156" s="322"/>
      <c r="Z156" s="322"/>
      <c r="AA156" s="114"/>
      <c r="AC156" s="105"/>
    </row>
    <row r="157" spans="1:29" s="99" customFormat="1" ht="78.75">
      <c r="A157" s="209" t="s">
        <v>736</v>
      </c>
      <c r="B157" s="209" t="s">
        <v>757</v>
      </c>
      <c r="C157" s="209" t="s">
        <v>904</v>
      </c>
      <c r="D157" s="209" t="s">
        <v>815</v>
      </c>
      <c r="E157" s="209"/>
      <c r="F157" s="199" t="s">
        <v>554</v>
      </c>
      <c r="G157" s="199" t="s">
        <v>113</v>
      </c>
      <c r="H157" s="321" t="s">
        <v>86</v>
      </c>
      <c r="I157" s="321" t="s">
        <v>886</v>
      </c>
      <c r="J157" s="321" t="s">
        <v>848</v>
      </c>
      <c r="K157" s="321" t="s">
        <v>265</v>
      </c>
      <c r="L157" s="225" t="s">
        <v>266</v>
      </c>
      <c r="M157" s="322"/>
      <c r="N157" s="322"/>
      <c r="O157" s="322"/>
      <c r="P157" s="322"/>
      <c r="Q157" s="322"/>
      <c r="R157" s="322">
        <v>5044.2</v>
      </c>
      <c r="S157" s="322">
        <v>477.5</v>
      </c>
      <c r="T157" s="322"/>
      <c r="U157" s="322"/>
      <c r="V157" s="322"/>
      <c r="W157" s="322"/>
      <c r="X157" s="322"/>
      <c r="Y157" s="322"/>
      <c r="Z157" s="322"/>
      <c r="AA157" s="114"/>
      <c r="AC157" s="105"/>
    </row>
    <row r="158" spans="1:29" s="111" customFormat="1" ht="78.75">
      <c r="A158" s="209" t="s">
        <v>736</v>
      </c>
      <c r="B158" s="209" t="s">
        <v>757</v>
      </c>
      <c r="C158" s="209" t="s">
        <v>904</v>
      </c>
      <c r="D158" s="209"/>
      <c r="E158" s="209"/>
      <c r="F158" s="196" t="s">
        <v>554</v>
      </c>
      <c r="G158" s="199" t="s">
        <v>113</v>
      </c>
      <c r="H158" s="321" t="s">
        <v>86</v>
      </c>
      <c r="I158" s="321" t="s">
        <v>886</v>
      </c>
      <c r="J158" s="321" t="s">
        <v>848</v>
      </c>
      <c r="K158" s="321" t="s">
        <v>267</v>
      </c>
      <c r="L158" s="225" t="s">
        <v>132</v>
      </c>
      <c r="M158" s="322"/>
      <c r="N158" s="322"/>
      <c r="O158" s="322"/>
      <c r="P158" s="322"/>
      <c r="Q158" s="322"/>
      <c r="R158" s="322">
        <v>331.6</v>
      </c>
      <c r="S158" s="322"/>
      <c r="T158" s="322"/>
      <c r="U158" s="322"/>
      <c r="V158" s="322"/>
      <c r="W158" s="322"/>
      <c r="X158" s="322"/>
      <c r="Y158" s="322"/>
      <c r="Z158" s="322"/>
      <c r="AA158" s="112">
        <v>28458.2</v>
      </c>
      <c r="AB158" s="113">
        <f>AA158-U158</f>
        <v>28458.2</v>
      </c>
      <c r="AC158" s="113">
        <f>U165+U167+U169+U173+U180+U182+U192</f>
        <v>34582.6</v>
      </c>
    </row>
    <row r="159" spans="1:29" s="111" customFormat="1" ht="78.75">
      <c r="A159" s="209" t="s">
        <v>736</v>
      </c>
      <c r="B159" s="209" t="s">
        <v>757</v>
      </c>
      <c r="C159" s="209" t="s">
        <v>904</v>
      </c>
      <c r="D159" s="209"/>
      <c r="E159" s="209"/>
      <c r="F159" s="196" t="s">
        <v>554</v>
      </c>
      <c r="G159" s="199" t="s">
        <v>113</v>
      </c>
      <c r="H159" s="321" t="s">
        <v>86</v>
      </c>
      <c r="I159" s="321" t="s">
        <v>886</v>
      </c>
      <c r="J159" s="321" t="s">
        <v>848</v>
      </c>
      <c r="K159" s="321" t="s">
        <v>268</v>
      </c>
      <c r="L159" s="225" t="s">
        <v>132</v>
      </c>
      <c r="M159" s="322"/>
      <c r="N159" s="322"/>
      <c r="O159" s="322"/>
      <c r="P159" s="322"/>
      <c r="Q159" s="322">
        <v>116562.856</v>
      </c>
      <c r="R159" s="322">
        <v>145606.1</v>
      </c>
      <c r="S159" s="322"/>
      <c r="T159" s="322"/>
      <c r="U159" s="322"/>
      <c r="V159" s="322"/>
      <c r="W159" s="322"/>
      <c r="X159" s="322"/>
      <c r="Y159" s="322"/>
      <c r="Z159" s="322"/>
      <c r="AA159" s="116">
        <f>AA160-T160</f>
        <v>21504.7</v>
      </c>
    </row>
    <row r="160" spans="1:29" s="111" customFormat="1" ht="22.5">
      <c r="A160" s="352" t="s">
        <v>736</v>
      </c>
      <c r="B160" s="352" t="s">
        <v>757</v>
      </c>
      <c r="C160" s="352" t="s">
        <v>904</v>
      </c>
      <c r="D160" s="352"/>
      <c r="E160" s="352"/>
      <c r="F160" s="568" t="s">
        <v>554</v>
      </c>
      <c r="G160" s="199" t="s">
        <v>117</v>
      </c>
      <c r="H160" s="321" t="s">
        <v>63</v>
      </c>
      <c r="I160" s="321" t="s">
        <v>886</v>
      </c>
      <c r="J160" s="321" t="s">
        <v>848</v>
      </c>
      <c r="K160" s="321" t="s">
        <v>269</v>
      </c>
      <c r="L160" s="225" t="s">
        <v>135</v>
      </c>
      <c r="M160" s="322"/>
      <c r="N160" s="322"/>
      <c r="O160" s="322"/>
      <c r="P160" s="322"/>
      <c r="Q160" s="322">
        <v>89000</v>
      </c>
      <c r="R160" s="322"/>
      <c r="S160" s="322">
        <v>16234.9</v>
      </c>
      <c r="T160" s="322"/>
      <c r="U160" s="322"/>
      <c r="V160" s="322"/>
      <c r="W160" s="322"/>
      <c r="X160" s="322"/>
      <c r="Y160" s="322"/>
      <c r="Z160" s="322"/>
      <c r="AA160" s="112">
        <v>21504.7</v>
      </c>
    </row>
    <row r="161" spans="1:27" s="111" customFormat="1" ht="78.75">
      <c r="A161" s="354"/>
      <c r="B161" s="354"/>
      <c r="C161" s="354"/>
      <c r="D161" s="354"/>
      <c r="E161" s="354"/>
      <c r="F161" s="569"/>
      <c r="G161" s="199" t="s">
        <v>113</v>
      </c>
      <c r="H161" s="321" t="s">
        <v>86</v>
      </c>
      <c r="I161" s="321" t="s">
        <v>886</v>
      </c>
      <c r="J161" s="321" t="s">
        <v>848</v>
      </c>
      <c r="K161" s="321" t="s">
        <v>269</v>
      </c>
      <c r="L161" s="225" t="s">
        <v>132</v>
      </c>
      <c r="M161" s="322"/>
      <c r="N161" s="322"/>
      <c r="O161" s="322"/>
      <c r="P161" s="322"/>
      <c r="Q161" s="322"/>
      <c r="R161" s="322"/>
      <c r="S161" s="322">
        <v>29702.9</v>
      </c>
      <c r="T161" s="322"/>
      <c r="U161" s="322"/>
      <c r="V161" s="322"/>
      <c r="W161" s="322"/>
      <c r="X161" s="322"/>
      <c r="Y161" s="322"/>
      <c r="Z161" s="322"/>
      <c r="AA161" s="116">
        <f>AA162-T162</f>
        <v>2278.8000000000002</v>
      </c>
    </row>
    <row r="162" spans="1:27" s="111" customFormat="1" ht="78.75">
      <c r="A162" s="348"/>
      <c r="B162" s="348"/>
      <c r="C162" s="348"/>
      <c r="D162" s="348"/>
      <c r="E162" s="348"/>
      <c r="F162" s="570"/>
      <c r="G162" s="199" t="s">
        <v>113</v>
      </c>
      <c r="H162" s="321" t="s">
        <v>114</v>
      </c>
      <c r="I162" s="321" t="s">
        <v>886</v>
      </c>
      <c r="J162" s="321" t="s">
        <v>848</v>
      </c>
      <c r="K162" s="321" t="s">
        <v>269</v>
      </c>
      <c r="L162" s="225" t="s">
        <v>132</v>
      </c>
      <c r="M162" s="322"/>
      <c r="N162" s="322"/>
      <c r="O162" s="322"/>
      <c r="P162" s="322"/>
      <c r="Q162" s="322"/>
      <c r="R162" s="322"/>
      <c r="S162" s="322"/>
      <c r="T162" s="322">
        <v>4114.8</v>
      </c>
      <c r="U162" s="322"/>
      <c r="V162" s="322"/>
      <c r="W162" s="322"/>
      <c r="X162" s="322"/>
      <c r="Y162" s="322"/>
      <c r="Z162" s="322"/>
      <c r="AA162" s="112">
        <v>6393.6</v>
      </c>
    </row>
    <row r="163" spans="1:27" s="111" customFormat="1" ht="22.5">
      <c r="A163" s="360" t="s">
        <v>736</v>
      </c>
      <c r="B163" s="352" t="s">
        <v>757</v>
      </c>
      <c r="C163" s="352" t="s">
        <v>270</v>
      </c>
      <c r="D163" s="348"/>
      <c r="E163" s="348"/>
      <c r="F163" s="361" t="s">
        <v>271</v>
      </c>
      <c r="G163" s="265" t="s">
        <v>844</v>
      </c>
      <c r="H163" s="362" t="s">
        <v>67</v>
      </c>
      <c r="I163" s="362" t="s">
        <v>886</v>
      </c>
      <c r="J163" s="362" t="s">
        <v>848</v>
      </c>
      <c r="K163" s="362" t="s">
        <v>272</v>
      </c>
      <c r="L163" s="363" t="s">
        <v>135</v>
      </c>
      <c r="M163" s="322"/>
      <c r="N163" s="322"/>
      <c r="O163" s="322"/>
      <c r="P163" s="322"/>
      <c r="Q163" s="322"/>
      <c r="R163" s="322"/>
      <c r="S163" s="322"/>
      <c r="T163" s="322"/>
      <c r="U163" s="322" t="str">
        <f>U164</f>
        <v xml:space="preserve"> </v>
      </c>
      <c r="V163" s="322"/>
      <c r="W163" s="322"/>
      <c r="X163" s="322"/>
      <c r="Y163" s="322"/>
      <c r="Z163" s="322"/>
      <c r="AA163" s="112"/>
    </row>
    <row r="164" spans="1:27" s="99" customFormat="1" ht="45" customHeight="1">
      <c r="A164" s="209" t="s">
        <v>736</v>
      </c>
      <c r="B164" s="209" t="s">
        <v>757</v>
      </c>
      <c r="C164" s="352" t="s">
        <v>270</v>
      </c>
      <c r="D164" s="209"/>
      <c r="E164" s="209"/>
      <c r="F164" s="199" t="s">
        <v>273</v>
      </c>
      <c r="G164" s="199" t="s">
        <v>117</v>
      </c>
      <c r="H164" s="321" t="s">
        <v>67</v>
      </c>
      <c r="I164" s="321" t="s">
        <v>886</v>
      </c>
      <c r="J164" s="321" t="s">
        <v>848</v>
      </c>
      <c r="K164" s="321" t="s">
        <v>274</v>
      </c>
      <c r="L164" s="225" t="s">
        <v>275</v>
      </c>
      <c r="M164" s="322"/>
      <c r="N164" s="322"/>
      <c r="O164" s="322"/>
      <c r="P164" s="322"/>
      <c r="Q164" s="322"/>
      <c r="R164" s="322"/>
      <c r="S164" s="322"/>
      <c r="T164" s="322"/>
      <c r="U164" s="322" t="s">
        <v>276</v>
      </c>
      <c r="V164" s="326">
        <f>2104</f>
        <v>2104</v>
      </c>
      <c r="W164" s="322">
        <v>2145.1999999999998</v>
      </c>
      <c r="X164" s="322">
        <v>2338</v>
      </c>
      <c r="Y164" s="322">
        <f>X164*1.053</f>
        <v>2461.9139999999998</v>
      </c>
      <c r="Z164" s="322">
        <f>Y164*1.053</f>
        <v>2592.3954419999995</v>
      </c>
      <c r="AA164" s="114" t="s">
        <v>283</v>
      </c>
    </row>
    <row r="165" spans="1:27" s="99" customFormat="1" ht="11.25">
      <c r="A165" s="206" t="s">
        <v>736</v>
      </c>
      <c r="B165" s="206" t="s">
        <v>780</v>
      </c>
      <c r="C165" s="353"/>
      <c r="D165" s="209"/>
      <c r="E165" s="209"/>
      <c r="F165" s="199"/>
      <c r="G165" s="199"/>
      <c r="H165" s="321"/>
      <c r="I165" s="321"/>
      <c r="J165" s="321"/>
      <c r="K165" s="321"/>
      <c r="L165" s="225"/>
      <c r="M165" s="322"/>
      <c r="N165" s="322"/>
      <c r="O165" s="322"/>
      <c r="P165" s="322"/>
      <c r="Q165" s="322"/>
      <c r="R165" s="322"/>
      <c r="S165" s="322"/>
      <c r="T165" s="322"/>
      <c r="U165" s="322"/>
      <c r="V165" s="364"/>
      <c r="W165" s="322"/>
      <c r="X165" s="322"/>
      <c r="Y165" s="322"/>
      <c r="Z165" s="322"/>
      <c r="AA165" s="114"/>
    </row>
    <row r="166" spans="1:27" s="99" customFormat="1" ht="14.25" customHeight="1">
      <c r="A166" s="206" t="s">
        <v>736</v>
      </c>
      <c r="B166" s="206" t="s">
        <v>780</v>
      </c>
      <c r="C166" s="353" t="s">
        <v>908</v>
      </c>
      <c r="D166" s="206" t="s">
        <v>815</v>
      </c>
      <c r="E166" s="206" t="s">
        <v>815</v>
      </c>
      <c r="F166" s="198" t="s">
        <v>983</v>
      </c>
      <c r="G166" s="199" t="s">
        <v>117</v>
      </c>
      <c r="H166" s="343" t="s">
        <v>67</v>
      </c>
      <c r="I166" s="343" t="s">
        <v>886</v>
      </c>
      <c r="J166" s="343" t="s">
        <v>848</v>
      </c>
      <c r="K166" s="343" t="s">
        <v>304</v>
      </c>
      <c r="L166" s="344" t="s">
        <v>305</v>
      </c>
      <c r="M166" s="322"/>
      <c r="N166" s="322"/>
      <c r="O166" s="322"/>
      <c r="P166" s="322"/>
      <c r="Q166" s="322"/>
      <c r="R166" s="322"/>
      <c r="S166" s="322"/>
      <c r="T166" s="322"/>
      <c r="U166" s="322"/>
      <c r="V166" s="326">
        <v>16.600000000000001</v>
      </c>
      <c r="W166" s="322"/>
      <c r="X166" s="322"/>
      <c r="Y166" s="322"/>
      <c r="Z166" s="322"/>
      <c r="AA166" s="114"/>
    </row>
    <row r="167" spans="1:27" s="99" customFormat="1" ht="11.25">
      <c r="A167" s="209"/>
      <c r="B167" s="209"/>
      <c r="C167" s="352"/>
      <c r="D167" s="209"/>
      <c r="E167" s="209"/>
      <c r="F167" s="199"/>
      <c r="G167" s="199"/>
      <c r="H167" s="321"/>
      <c r="I167" s="321"/>
      <c r="J167" s="321"/>
      <c r="K167" s="321"/>
      <c r="L167" s="225"/>
      <c r="M167" s="322"/>
      <c r="N167" s="322"/>
      <c r="O167" s="322"/>
      <c r="P167" s="322"/>
      <c r="Q167" s="322"/>
      <c r="R167" s="322"/>
      <c r="S167" s="322"/>
      <c r="T167" s="322"/>
      <c r="U167" s="322"/>
      <c r="V167" s="364"/>
      <c r="W167" s="322"/>
      <c r="X167" s="322"/>
      <c r="Y167" s="322"/>
      <c r="Z167" s="322"/>
      <c r="AA167" s="114"/>
    </row>
    <row r="168" spans="1:27" s="99" customFormat="1" ht="11.25">
      <c r="A168" s="209"/>
      <c r="B168" s="209"/>
      <c r="C168" s="352"/>
      <c r="D168" s="209"/>
      <c r="E168" s="209"/>
      <c r="F168" s="199"/>
      <c r="G168" s="199"/>
      <c r="H168" s="321"/>
      <c r="I168" s="321"/>
      <c r="J168" s="321"/>
      <c r="K168" s="321"/>
      <c r="L168" s="225"/>
      <c r="M168" s="322"/>
      <c r="N168" s="322"/>
      <c r="O168" s="322"/>
      <c r="P168" s="322"/>
      <c r="Q168" s="322"/>
      <c r="R168" s="322"/>
      <c r="S168" s="322"/>
      <c r="T168" s="322"/>
      <c r="U168" s="322"/>
      <c r="V168" s="364"/>
      <c r="W168" s="322"/>
      <c r="X168" s="322"/>
      <c r="Y168" s="322"/>
      <c r="Z168" s="322"/>
      <c r="AA168" s="114"/>
    </row>
    <row r="169" spans="1:27" s="99" customFormat="1" ht="38.25" customHeight="1">
      <c r="A169" s="209"/>
      <c r="B169" s="209"/>
      <c r="C169" s="352"/>
      <c r="D169" s="209"/>
      <c r="E169" s="209"/>
      <c r="F169" s="199"/>
      <c r="G169" s="199"/>
      <c r="H169" s="321"/>
      <c r="I169" s="321"/>
      <c r="J169" s="321"/>
      <c r="K169" s="321"/>
      <c r="L169" s="225"/>
      <c r="M169" s="322"/>
      <c r="N169" s="322"/>
      <c r="O169" s="322"/>
      <c r="P169" s="322"/>
      <c r="Q169" s="322"/>
      <c r="R169" s="322"/>
      <c r="S169" s="322"/>
      <c r="T169" s="322"/>
      <c r="U169" s="322"/>
      <c r="V169" s="364"/>
      <c r="W169" s="322"/>
      <c r="X169" s="322"/>
      <c r="Y169" s="322"/>
      <c r="Z169" s="322"/>
      <c r="AA169" s="114"/>
    </row>
    <row r="170" spans="1:27" s="99" customFormat="1" ht="11.25">
      <c r="A170" s="209"/>
      <c r="B170" s="209"/>
      <c r="C170" s="352"/>
      <c r="D170" s="209"/>
      <c r="E170" s="209"/>
      <c r="F170" s="199"/>
      <c r="G170" s="199"/>
      <c r="H170" s="321"/>
      <c r="I170" s="321"/>
      <c r="J170" s="321"/>
      <c r="K170" s="321"/>
      <c r="L170" s="225"/>
      <c r="M170" s="322"/>
      <c r="N170" s="322"/>
      <c r="O170" s="322"/>
      <c r="P170" s="322"/>
      <c r="Q170" s="322"/>
      <c r="R170" s="322"/>
      <c r="S170" s="322"/>
      <c r="T170" s="322"/>
      <c r="U170" s="322"/>
      <c r="V170" s="364"/>
      <c r="W170" s="322"/>
      <c r="X170" s="322"/>
      <c r="Y170" s="322"/>
      <c r="Z170" s="322"/>
      <c r="AA170" s="114"/>
    </row>
    <row r="171" spans="1:27" s="99" customFormat="1" ht="11.25">
      <c r="A171" s="546" t="s">
        <v>736</v>
      </c>
      <c r="B171" s="546" t="s">
        <v>780</v>
      </c>
      <c r="C171" s="546"/>
      <c r="D171" s="546"/>
      <c r="E171" s="546"/>
      <c r="F171" s="587" t="s">
        <v>76</v>
      </c>
      <c r="G171" s="309" t="s">
        <v>109</v>
      </c>
      <c r="H171" s="310"/>
      <c r="I171" s="310"/>
      <c r="J171" s="310"/>
      <c r="K171" s="310"/>
      <c r="L171" s="311"/>
      <c r="M171" s="312">
        <f t="shared" ref="M171:S171" si="20">SUM(M172:M174)</f>
        <v>25219.200000000001</v>
      </c>
      <c r="N171" s="312">
        <f t="shared" si="20"/>
        <v>24433.899999999998</v>
      </c>
      <c r="O171" s="312">
        <f t="shared" si="20"/>
        <v>26704.5</v>
      </c>
      <c r="P171" s="312">
        <f t="shared" si="20"/>
        <v>29593.599999999999</v>
      </c>
      <c r="Q171" s="312">
        <f t="shared" si="20"/>
        <v>28277.671000000002</v>
      </c>
      <c r="R171" s="312">
        <f t="shared" si="20"/>
        <v>26985.304999999997</v>
      </c>
      <c r="S171" s="312">
        <f t="shared" si="20"/>
        <v>27120.6</v>
      </c>
      <c r="T171" s="312">
        <f t="shared" ref="T171:Z171" si="21">SUM(T173:T176)</f>
        <v>28486.000000000004</v>
      </c>
      <c r="U171" s="312">
        <f t="shared" si="21"/>
        <v>34582.6</v>
      </c>
      <c r="V171" s="312">
        <f t="shared" si="21"/>
        <v>35294</v>
      </c>
      <c r="W171" s="312">
        <f t="shared" si="21"/>
        <v>26524.2</v>
      </c>
      <c r="X171" s="312">
        <f t="shared" si="21"/>
        <v>27790.100000000002</v>
      </c>
      <c r="Y171" s="312">
        <f t="shared" si="21"/>
        <v>29103.514200000001</v>
      </c>
      <c r="Z171" s="312">
        <f t="shared" si="21"/>
        <v>30486.539352600001</v>
      </c>
      <c r="AA171" s="114"/>
    </row>
    <row r="172" spans="1:27" s="99" customFormat="1" ht="44.25" customHeight="1">
      <c r="A172" s="547"/>
      <c r="B172" s="547"/>
      <c r="C172" s="547"/>
      <c r="D172" s="547"/>
      <c r="E172" s="547"/>
      <c r="F172" s="588"/>
      <c r="G172" s="309" t="s">
        <v>117</v>
      </c>
      <c r="H172" s="310" t="s">
        <v>63</v>
      </c>
      <c r="I172" s="310" t="s">
        <v>886</v>
      </c>
      <c r="J172" s="310" t="s">
        <v>859</v>
      </c>
      <c r="K172" s="310" t="s">
        <v>277</v>
      </c>
      <c r="L172" s="318"/>
      <c r="M172" s="319">
        <f>M177</f>
        <v>19966</v>
      </c>
      <c r="N172" s="319">
        <f>N177+N183+N199+N187+N201+N203</f>
        <v>18858.899999999998</v>
      </c>
      <c r="O172" s="319">
        <f>O177+O183+O187+O201+O203</f>
        <v>20635.7</v>
      </c>
      <c r="P172" s="319">
        <f>P177+P183+P187+P204</f>
        <v>22966.3</v>
      </c>
      <c r="Q172" s="312">
        <f>Q177+Q183+Q187+Q204</f>
        <v>21383.301000000003</v>
      </c>
      <c r="R172" s="312">
        <f>R177+R183+R187+R204</f>
        <v>20324.138999999996</v>
      </c>
      <c r="S172" s="312">
        <f>S177+S183+S187+S204</f>
        <v>21176</v>
      </c>
      <c r="T172" s="315"/>
      <c r="U172" s="315"/>
      <c r="V172" s="315"/>
      <c r="W172" s="315"/>
      <c r="X172" s="315"/>
      <c r="Y172" s="315"/>
      <c r="Z172" s="315"/>
      <c r="AA172" s="114" t="s">
        <v>291</v>
      </c>
    </row>
    <row r="173" spans="1:27" s="99" customFormat="1" ht="40.5" customHeight="1">
      <c r="A173" s="547"/>
      <c r="B173" s="547"/>
      <c r="C173" s="547"/>
      <c r="D173" s="547"/>
      <c r="E173" s="547"/>
      <c r="F173" s="588"/>
      <c r="G173" s="309" t="s">
        <v>893</v>
      </c>
      <c r="H173" s="310" t="s">
        <v>67</v>
      </c>
      <c r="I173" s="310" t="s">
        <v>886</v>
      </c>
      <c r="J173" s="310" t="s">
        <v>859</v>
      </c>
      <c r="K173" s="310" t="s">
        <v>277</v>
      </c>
      <c r="L173" s="318"/>
      <c r="M173" s="319"/>
      <c r="N173" s="319"/>
      <c r="O173" s="319"/>
      <c r="P173" s="319"/>
      <c r="Q173" s="312"/>
      <c r="R173" s="312"/>
      <c r="S173" s="312"/>
      <c r="T173" s="312">
        <f>T178+T184+T188+T205+T202</f>
        <v>21504.7</v>
      </c>
      <c r="U173" s="312">
        <f>U178+U184+U188</f>
        <v>27405.4</v>
      </c>
      <c r="V173" s="312">
        <f>V178+V184+V188+V205</f>
        <v>28116.800000000003</v>
      </c>
      <c r="W173" s="312">
        <f>W178+W184+W188+W205+W202</f>
        <v>26524.2</v>
      </c>
      <c r="X173" s="312">
        <f>X178+X184+X188+X205+X202</f>
        <v>27790.100000000002</v>
      </c>
      <c r="Y173" s="312">
        <f>Y178+Y184+Y188+Y205+Y202</f>
        <v>29103.514200000001</v>
      </c>
      <c r="Z173" s="312">
        <f>Z178+Z184+Z188+Z205+Z202</f>
        <v>30486.539352600001</v>
      </c>
      <c r="AA173" s="114"/>
    </row>
    <row r="174" spans="1:27" s="99" customFormat="1" ht="11.25">
      <c r="A174" s="547"/>
      <c r="B174" s="547"/>
      <c r="C174" s="547"/>
      <c r="D174" s="547"/>
      <c r="E174" s="547"/>
      <c r="F174" s="588"/>
      <c r="G174" s="309" t="s">
        <v>566</v>
      </c>
      <c r="H174" s="310" t="s">
        <v>80</v>
      </c>
      <c r="I174" s="310" t="s">
        <v>886</v>
      </c>
      <c r="J174" s="310" t="s">
        <v>859</v>
      </c>
      <c r="K174" s="310" t="s">
        <v>277</v>
      </c>
      <c r="L174" s="318"/>
      <c r="M174" s="319">
        <f>M179</f>
        <v>5253.2</v>
      </c>
      <c r="N174" s="319">
        <f>N179</f>
        <v>5575</v>
      </c>
      <c r="O174" s="319">
        <f>O179+O191</f>
        <v>6068.8</v>
      </c>
      <c r="P174" s="319">
        <f>P179</f>
        <v>6627.3</v>
      </c>
      <c r="Q174" s="312">
        <f>Q179+Q191</f>
        <v>6894.37</v>
      </c>
      <c r="R174" s="312">
        <f>R179+R191</f>
        <v>6661.1660000000002</v>
      </c>
      <c r="S174" s="312">
        <f>S179</f>
        <v>5944.6</v>
      </c>
      <c r="T174" s="315"/>
      <c r="U174" s="315"/>
      <c r="V174" s="315"/>
      <c r="W174" s="315"/>
      <c r="X174" s="315"/>
      <c r="Y174" s="315"/>
      <c r="Z174" s="315"/>
      <c r="AA174" s="114"/>
    </row>
    <row r="175" spans="1:27" s="99" customFormat="1" ht="42">
      <c r="A175" s="547"/>
      <c r="B175" s="547"/>
      <c r="C175" s="547"/>
      <c r="D175" s="547"/>
      <c r="E175" s="547"/>
      <c r="F175" s="588"/>
      <c r="G175" s="309" t="s">
        <v>111</v>
      </c>
      <c r="H175" s="310" t="s">
        <v>84</v>
      </c>
      <c r="I175" s="310" t="s">
        <v>886</v>
      </c>
      <c r="J175" s="310" t="s">
        <v>859</v>
      </c>
      <c r="K175" s="310" t="s">
        <v>277</v>
      </c>
      <c r="L175" s="318"/>
      <c r="M175" s="319"/>
      <c r="N175" s="319"/>
      <c r="O175" s="319"/>
      <c r="P175" s="319"/>
      <c r="Q175" s="312"/>
      <c r="R175" s="312"/>
      <c r="S175" s="312"/>
      <c r="T175" s="312">
        <f>T180+T181</f>
        <v>6393.6</v>
      </c>
      <c r="U175" s="312">
        <f>U180+U181+U182+U193+U190+U196</f>
        <v>7177.2</v>
      </c>
      <c r="V175" s="312">
        <f>V180+V181+V182</f>
        <v>7177.2</v>
      </c>
      <c r="W175" s="312">
        <f>W180+W181+W182</f>
        <v>0</v>
      </c>
      <c r="X175" s="312">
        <f>X180+X181+X182</f>
        <v>0</v>
      </c>
      <c r="Y175" s="312">
        <f>Y180+Y181+Y182</f>
        <v>0</v>
      </c>
      <c r="Z175" s="312">
        <f>Z180+Z181+Z182</f>
        <v>0</v>
      </c>
      <c r="AA175" s="114"/>
    </row>
    <row r="176" spans="1:27" s="99" customFormat="1" ht="12.75" customHeight="1">
      <c r="A176" s="548"/>
      <c r="B176" s="548"/>
      <c r="C176" s="548"/>
      <c r="D176" s="548"/>
      <c r="E176" s="548"/>
      <c r="F176" s="589"/>
      <c r="G176" s="309" t="s">
        <v>115</v>
      </c>
      <c r="H176" s="310" t="s">
        <v>116</v>
      </c>
      <c r="I176" s="310" t="s">
        <v>886</v>
      </c>
      <c r="J176" s="310" t="s">
        <v>859</v>
      </c>
      <c r="K176" s="310" t="s">
        <v>277</v>
      </c>
      <c r="L176" s="318"/>
      <c r="M176" s="319"/>
      <c r="N176" s="319"/>
      <c r="O176" s="319"/>
      <c r="P176" s="319"/>
      <c r="Q176" s="312"/>
      <c r="R176" s="312"/>
      <c r="S176" s="312"/>
      <c r="T176" s="312">
        <f t="shared" ref="T176:Z176" si="22">T192</f>
        <v>587.70000000000005</v>
      </c>
      <c r="U176" s="312">
        <f t="shared" si="22"/>
        <v>0</v>
      </c>
      <c r="V176" s="312">
        <f t="shared" si="22"/>
        <v>0</v>
      </c>
      <c r="W176" s="312">
        <f t="shared" si="22"/>
        <v>0</v>
      </c>
      <c r="X176" s="312">
        <f t="shared" si="22"/>
        <v>0</v>
      </c>
      <c r="Y176" s="312">
        <f t="shared" si="22"/>
        <v>0</v>
      </c>
      <c r="Z176" s="312">
        <f t="shared" si="22"/>
        <v>0</v>
      </c>
      <c r="AA176" s="114"/>
    </row>
    <row r="177" spans="1:27" s="99" customFormat="1" ht="22.5">
      <c r="A177" s="515" t="s">
        <v>736</v>
      </c>
      <c r="B177" s="515" t="s">
        <v>780</v>
      </c>
      <c r="C177" s="515" t="s">
        <v>736</v>
      </c>
      <c r="D177" s="515" t="s">
        <v>737</v>
      </c>
      <c r="E177" s="515" t="s">
        <v>737</v>
      </c>
      <c r="F177" s="555" t="s">
        <v>278</v>
      </c>
      <c r="G177" s="199" t="s">
        <v>117</v>
      </c>
      <c r="H177" s="321" t="s">
        <v>63</v>
      </c>
      <c r="I177" s="201" t="s">
        <v>279</v>
      </c>
      <c r="J177" s="201" t="s">
        <v>280</v>
      </c>
      <c r="K177" s="201" t="s">
        <v>281</v>
      </c>
      <c r="L177" s="225" t="s">
        <v>282</v>
      </c>
      <c r="M177" s="322">
        <v>19966</v>
      </c>
      <c r="N177" s="322">
        <v>18615.3</v>
      </c>
      <c r="O177" s="322">
        <v>19644.3</v>
      </c>
      <c r="P177" s="322">
        <v>21810.3</v>
      </c>
      <c r="Q177" s="322">
        <v>18584.502</v>
      </c>
      <c r="R177" s="322">
        <v>18547.231</v>
      </c>
      <c r="S177" s="322">
        <v>19325.599999999999</v>
      </c>
      <c r="T177" s="324"/>
      <c r="U177" s="324"/>
      <c r="V177" s="324"/>
      <c r="W177" s="324"/>
      <c r="X177" s="324"/>
      <c r="Y177" s="324"/>
      <c r="Z177" s="324"/>
      <c r="AA177" s="114"/>
    </row>
    <row r="178" spans="1:27" s="99" customFormat="1" ht="64.900000000000006" customHeight="1">
      <c r="A178" s="516"/>
      <c r="B178" s="516"/>
      <c r="C178" s="516"/>
      <c r="D178" s="516"/>
      <c r="E178" s="516"/>
      <c r="F178" s="556"/>
      <c r="G178" s="199" t="s">
        <v>844</v>
      </c>
      <c r="H178" s="321" t="s">
        <v>67</v>
      </c>
      <c r="I178" s="201" t="s">
        <v>279</v>
      </c>
      <c r="J178" s="201" t="s">
        <v>280</v>
      </c>
      <c r="K178" s="201" t="s">
        <v>281</v>
      </c>
      <c r="L178" s="225" t="s">
        <v>282</v>
      </c>
      <c r="M178" s="322"/>
      <c r="N178" s="322"/>
      <c r="O178" s="322"/>
      <c r="P178" s="322"/>
      <c r="Q178" s="322"/>
      <c r="R178" s="322"/>
      <c r="S178" s="322"/>
      <c r="T178" s="322">
        <f>19496.2</f>
        <v>19496.2</v>
      </c>
      <c r="U178" s="364">
        <f>24911.7</f>
        <v>24911.7</v>
      </c>
      <c r="V178" s="326">
        <v>24911.7</v>
      </c>
      <c r="W178" s="322">
        <v>23515.5</v>
      </c>
      <c r="X178" s="322">
        <v>24781.4</v>
      </c>
      <c r="Y178" s="322">
        <f>X178*1.053</f>
        <v>26094.814200000001</v>
      </c>
      <c r="Z178" s="322">
        <f>Y178*1.053</f>
        <v>27477.8393526</v>
      </c>
      <c r="AA178" s="114"/>
    </row>
    <row r="179" spans="1:27" s="99" customFormat="1" ht="11.25">
      <c r="A179" s="515" t="s">
        <v>736</v>
      </c>
      <c r="B179" s="515" t="s">
        <v>780</v>
      </c>
      <c r="C179" s="515" t="s">
        <v>736</v>
      </c>
      <c r="D179" s="515" t="s">
        <v>757</v>
      </c>
      <c r="E179" s="515" t="s">
        <v>737</v>
      </c>
      <c r="F179" s="555" t="s">
        <v>565</v>
      </c>
      <c r="G179" s="199" t="s">
        <v>566</v>
      </c>
      <c r="H179" s="321" t="s">
        <v>80</v>
      </c>
      <c r="I179" s="321" t="s">
        <v>886</v>
      </c>
      <c r="J179" s="321" t="s">
        <v>859</v>
      </c>
      <c r="K179" s="321" t="s">
        <v>284</v>
      </c>
      <c r="L179" s="225" t="s">
        <v>285</v>
      </c>
      <c r="M179" s="322">
        <v>5253.2</v>
      </c>
      <c r="N179" s="322">
        <v>5575</v>
      </c>
      <c r="O179" s="322">
        <v>6055.3</v>
      </c>
      <c r="P179" s="322">
        <v>6627.3</v>
      </c>
      <c r="Q179" s="322">
        <v>6068.92</v>
      </c>
      <c r="R179" s="322">
        <v>6512.3</v>
      </c>
      <c r="S179" s="322">
        <v>5944.6</v>
      </c>
      <c r="T179" s="324"/>
      <c r="U179" s="365"/>
      <c r="V179" s="324"/>
      <c r="W179" s="324"/>
      <c r="X179" s="324"/>
      <c r="Y179" s="322"/>
      <c r="Z179" s="322"/>
      <c r="AA179" s="114"/>
    </row>
    <row r="180" spans="1:27" s="99" customFormat="1" ht="33.75">
      <c r="A180" s="528"/>
      <c r="B180" s="528"/>
      <c r="C180" s="528"/>
      <c r="D180" s="528"/>
      <c r="E180" s="528"/>
      <c r="F180" s="590"/>
      <c r="G180" s="199" t="s">
        <v>111</v>
      </c>
      <c r="H180" s="321" t="s">
        <v>84</v>
      </c>
      <c r="I180" s="321" t="s">
        <v>886</v>
      </c>
      <c r="J180" s="321" t="s">
        <v>859</v>
      </c>
      <c r="K180" s="321" t="s">
        <v>284</v>
      </c>
      <c r="L180" s="225" t="s">
        <v>285</v>
      </c>
      <c r="M180" s="322"/>
      <c r="N180" s="322"/>
      <c r="O180" s="322"/>
      <c r="P180" s="322"/>
      <c r="Q180" s="322"/>
      <c r="R180" s="322"/>
      <c r="S180" s="322"/>
      <c r="T180" s="322">
        <v>6393.6</v>
      </c>
      <c r="U180" s="364">
        <v>7177.2</v>
      </c>
      <c r="V180" s="326">
        <v>7177.2</v>
      </c>
      <c r="W180" s="322"/>
      <c r="X180" s="322"/>
      <c r="Y180" s="322"/>
      <c r="Z180" s="322"/>
      <c r="AA180" s="114"/>
    </row>
    <row r="181" spans="1:27" s="99" customFormat="1" ht="39.75" customHeight="1">
      <c r="A181" s="528"/>
      <c r="B181" s="528"/>
      <c r="C181" s="528"/>
      <c r="D181" s="528"/>
      <c r="E181" s="528"/>
      <c r="F181" s="590"/>
      <c r="G181" s="199" t="s">
        <v>111</v>
      </c>
      <c r="H181" s="321" t="s">
        <v>84</v>
      </c>
      <c r="I181" s="321" t="s">
        <v>886</v>
      </c>
      <c r="J181" s="321" t="s">
        <v>859</v>
      </c>
      <c r="K181" s="321" t="s">
        <v>286</v>
      </c>
      <c r="L181" s="225" t="s">
        <v>135</v>
      </c>
      <c r="M181" s="322"/>
      <c r="N181" s="322"/>
      <c r="O181" s="322"/>
      <c r="P181" s="322"/>
      <c r="Q181" s="322"/>
      <c r="R181" s="322"/>
      <c r="S181" s="322"/>
      <c r="T181" s="322"/>
      <c r="U181" s="322"/>
      <c r="V181" s="322"/>
      <c r="W181" s="322"/>
      <c r="X181" s="322"/>
      <c r="Y181" s="322"/>
      <c r="Z181" s="322"/>
      <c r="AA181" s="114"/>
    </row>
    <row r="182" spans="1:27" s="99" customFormat="1" ht="42.75" customHeight="1">
      <c r="A182" s="516"/>
      <c r="B182" s="516"/>
      <c r="C182" s="516"/>
      <c r="D182" s="516"/>
      <c r="E182" s="516"/>
      <c r="F182" s="556"/>
      <c r="G182" s="199" t="s">
        <v>111</v>
      </c>
      <c r="H182" s="321" t="s">
        <v>84</v>
      </c>
      <c r="I182" s="321" t="s">
        <v>895</v>
      </c>
      <c r="J182" s="321" t="s">
        <v>865</v>
      </c>
      <c r="K182" s="321" t="s">
        <v>287</v>
      </c>
      <c r="L182" s="225" t="s">
        <v>123</v>
      </c>
      <c r="M182" s="322"/>
      <c r="N182" s="322"/>
      <c r="O182" s="322"/>
      <c r="P182" s="322"/>
      <c r="Q182" s="322"/>
      <c r="R182" s="322"/>
      <c r="S182" s="322"/>
      <c r="T182" s="322"/>
      <c r="U182" s="322"/>
      <c r="V182" s="322"/>
      <c r="W182" s="322"/>
      <c r="X182" s="322"/>
      <c r="Y182" s="322"/>
      <c r="Z182" s="322"/>
      <c r="AA182" s="114"/>
    </row>
    <row r="183" spans="1:27" s="99" customFormat="1" ht="55.5" customHeight="1">
      <c r="A183" s="562" t="s">
        <v>736</v>
      </c>
      <c r="B183" s="562" t="s">
        <v>780</v>
      </c>
      <c r="C183" s="562" t="s">
        <v>859</v>
      </c>
      <c r="D183" s="562"/>
      <c r="E183" s="562"/>
      <c r="F183" s="573" t="s">
        <v>569</v>
      </c>
      <c r="G183" s="314" t="s">
        <v>117</v>
      </c>
      <c r="H183" s="317" t="s">
        <v>63</v>
      </c>
      <c r="I183" s="328" t="s">
        <v>279</v>
      </c>
      <c r="J183" s="328" t="s">
        <v>280</v>
      </c>
      <c r="K183" s="317" t="s">
        <v>288</v>
      </c>
      <c r="L183" s="329"/>
      <c r="M183" s="319"/>
      <c r="N183" s="312">
        <f t="shared" ref="N183:S183" si="23">N185</f>
        <v>52</v>
      </c>
      <c r="O183" s="312">
        <f t="shared" si="23"/>
        <v>21</v>
      </c>
      <c r="P183" s="312">
        <f t="shared" si="23"/>
        <v>0</v>
      </c>
      <c r="Q183" s="312">
        <f t="shared" si="23"/>
        <v>100</v>
      </c>
      <c r="R183" s="312">
        <f t="shared" si="23"/>
        <v>106.959</v>
      </c>
      <c r="S183" s="312">
        <f t="shared" si="23"/>
        <v>131.19999999999999</v>
      </c>
      <c r="T183" s="324"/>
      <c r="U183" s="324"/>
      <c r="V183" s="324"/>
      <c r="W183" s="324"/>
      <c r="X183" s="324"/>
      <c r="Y183" s="324"/>
      <c r="Z183" s="324"/>
      <c r="AA183" s="114"/>
    </row>
    <row r="184" spans="1:27" s="99" customFormat="1" ht="22.5">
      <c r="A184" s="563"/>
      <c r="B184" s="563"/>
      <c r="C184" s="563"/>
      <c r="D184" s="563"/>
      <c r="E184" s="563"/>
      <c r="F184" s="574"/>
      <c r="G184" s="314" t="s">
        <v>893</v>
      </c>
      <c r="H184" s="317" t="s">
        <v>67</v>
      </c>
      <c r="I184" s="328" t="s">
        <v>279</v>
      </c>
      <c r="J184" s="328" t="s">
        <v>280</v>
      </c>
      <c r="K184" s="317" t="s">
        <v>288</v>
      </c>
      <c r="L184" s="329"/>
      <c r="M184" s="319"/>
      <c r="N184" s="312"/>
      <c r="O184" s="312"/>
      <c r="P184" s="312"/>
      <c r="Q184" s="312"/>
      <c r="R184" s="312"/>
      <c r="S184" s="312"/>
      <c r="T184" s="312">
        <f t="shared" ref="T184:Z184" si="24">T186</f>
        <v>273.7</v>
      </c>
      <c r="U184" s="312">
        <f t="shared" si="24"/>
        <v>0</v>
      </c>
      <c r="V184" s="312">
        <f t="shared" si="24"/>
        <v>50</v>
      </c>
      <c r="W184" s="312">
        <f t="shared" si="24"/>
        <v>0</v>
      </c>
      <c r="X184" s="312">
        <f t="shared" si="24"/>
        <v>0</v>
      </c>
      <c r="Y184" s="312">
        <f t="shared" si="24"/>
        <v>0</v>
      </c>
      <c r="Z184" s="312">
        <f t="shared" si="24"/>
        <v>0</v>
      </c>
      <c r="AA184" s="114"/>
    </row>
    <row r="185" spans="1:27" s="99" customFormat="1" ht="22.5">
      <c r="A185" s="515" t="s">
        <v>736</v>
      </c>
      <c r="B185" s="515" t="s">
        <v>780</v>
      </c>
      <c r="C185" s="515" t="s">
        <v>859</v>
      </c>
      <c r="D185" s="515" t="s">
        <v>737</v>
      </c>
      <c r="E185" s="515" t="s">
        <v>737</v>
      </c>
      <c r="F185" s="529" t="s">
        <v>289</v>
      </c>
      <c r="G185" s="199" t="s">
        <v>117</v>
      </c>
      <c r="H185" s="321" t="s">
        <v>63</v>
      </c>
      <c r="I185" s="201" t="s">
        <v>279</v>
      </c>
      <c r="J185" s="201" t="s">
        <v>280</v>
      </c>
      <c r="K185" s="321" t="s">
        <v>290</v>
      </c>
      <c r="L185" s="225" t="s">
        <v>135</v>
      </c>
      <c r="M185" s="322"/>
      <c r="N185" s="322">
        <v>52</v>
      </c>
      <c r="O185" s="322">
        <v>21</v>
      </c>
      <c r="P185" s="322">
        <v>0</v>
      </c>
      <c r="Q185" s="322">
        <v>100</v>
      </c>
      <c r="R185" s="322">
        <v>106.959</v>
      </c>
      <c r="S185" s="322">
        <v>131.19999999999999</v>
      </c>
      <c r="T185" s="324"/>
      <c r="U185" s="324"/>
      <c r="V185" s="324"/>
      <c r="W185" s="324"/>
      <c r="X185" s="324"/>
      <c r="Y185" s="324"/>
      <c r="Z185" s="324"/>
      <c r="AA185" s="114"/>
    </row>
    <row r="186" spans="1:27" s="99" customFormat="1" ht="22.5">
      <c r="A186" s="516"/>
      <c r="B186" s="516"/>
      <c r="C186" s="516"/>
      <c r="D186" s="516"/>
      <c r="E186" s="516"/>
      <c r="F186" s="530"/>
      <c r="G186" s="199" t="s">
        <v>844</v>
      </c>
      <c r="H186" s="321" t="s">
        <v>67</v>
      </c>
      <c r="I186" s="201" t="s">
        <v>279</v>
      </c>
      <c r="J186" s="201" t="s">
        <v>280</v>
      </c>
      <c r="K186" s="321" t="s">
        <v>290</v>
      </c>
      <c r="L186" s="225" t="s">
        <v>135</v>
      </c>
      <c r="M186" s="322"/>
      <c r="N186" s="322"/>
      <c r="O186" s="322"/>
      <c r="P186" s="322"/>
      <c r="Q186" s="322"/>
      <c r="R186" s="322"/>
      <c r="S186" s="322"/>
      <c r="T186" s="322">
        <v>273.7</v>
      </c>
      <c r="U186" s="326">
        <v>0</v>
      </c>
      <c r="V186" s="326">
        <v>50</v>
      </c>
      <c r="W186" s="322">
        <v>0</v>
      </c>
      <c r="X186" s="322">
        <v>0</v>
      </c>
      <c r="Y186" s="322">
        <f>X186*1.053</f>
        <v>0</v>
      </c>
      <c r="Z186" s="322">
        <f>Y186*1.053</f>
        <v>0</v>
      </c>
      <c r="AA186" s="114"/>
    </row>
    <row r="187" spans="1:27" s="99" customFormat="1" ht="23.25" customHeight="1">
      <c r="A187" s="591" t="s">
        <v>736</v>
      </c>
      <c r="B187" s="591" t="s">
        <v>780</v>
      </c>
      <c r="C187" s="591" t="s">
        <v>869</v>
      </c>
      <c r="D187" s="591"/>
      <c r="E187" s="591"/>
      <c r="F187" s="593" t="s">
        <v>586</v>
      </c>
      <c r="G187" s="366" t="s">
        <v>117</v>
      </c>
      <c r="H187" s="367" t="s">
        <v>63</v>
      </c>
      <c r="I187" s="367" t="s">
        <v>886</v>
      </c>
      <c r="J187" s="367" t="s">
        <v>280</v>
      </c>
      <c r="K187" s="367" t="s">
        <v>292</v>
      </c>
      <c r="L187" s="368"/>
      <c r="M187" s="369"/>
      <c r="N187" s="370">
        <f>N194+N199</f>
        <v>191.6</v>
      </c>
      <c r="O187" s="370">
        <f>O194+O197+O198+O199</f>
        <v>970.4</v>
      </c>
      <c r="P187" s="370">
        <f>P194+P197+P199</f>
        <v>600</v>
      </c>
      <c r="Q187" s="370">
        <f>Q194+Q197+Q199+Q201</f>
        <v>1175.08</v>
      </c>
      <c r="R187" s="370">
        <f>R194+R197+R199</f>
        <v>32.064999999999998</v>
      </c>
      <c r="S187" s="370">
        <f>S194+S197+S199</f>
        <v>93.8</v>
      </c>
      <c r="T187" s="371"/>
      <c r="U187" s="371"/>
      <c r="V187" s="371"/>
      <c r="W187" s="371"/>
      <c r="X187" s="371"/>
      <c r="Y187" s="371"/>
      <c r="Z187" s="371"/>
      <c r="AA187" s="114"/>
    </row>
    <row r="188" spans="1:27" s="99" customFormat="1" ht="22.5">
      <c r="A188" s="592"/>
      <c r="B188" s="592"/>
      <c r="C188" s="592"/>
      <c r="D188" s="592"/>
      <c r="E188" s="592"/>
      <c r="F188" s="594"/>
      <c r="G188" s="366" t="s">
        <v>844</v>
      </c>
      <c r="H188" s="367" t="s">
        <v>67</v>
      </c>
      <c r="I188" s="367" t="s">
        <v>886</v>
      </c>
      <c r="J188" s="367" t="s">
        <v>280</v>
      </c>
      <c r="K188" s="367" t="s">
        <v>292</v>
      </c>
      <c r="L188" s="368"/>
      <c r="M188" s="369"/>
      <c r="N188" s="370"/>
      <c r="O188" s="370"/>
      <c r="P188" s="370"/>
      <c r="Q188" s="370"/>
      <c r="R188" s="370"/>
      <c r="S188" s="370"/>
      <c r="T188" s="370">
        <f>T195</f>
        <v>102</v>
      </c>
      <c r="U188" s="370">
        <f>U195+U205+U207</f>
        <v>2493.6999999999998</v>
      </c>
      <c r="V188" s="370">
        <f>V195</f>
        <v>146.4</v>
      </c>
      <c r="W188" s="370">
        <f>W195</f>
        <v>0</v>
      </c>
      <c r="X188" s="370">
        <f>X195</f>
        <v>0</v>
      </c>
      <c r="Y188" s="370">
        <f>Y195</f>
        <v>0</v>
      </c>
      <c r="Z188" s="370">
        <f>Z195</f>
        <v>0</v>
      </c>
      <c r="AA188" s="114"/>
    </row>
    <row r="189" spans="1:27" s="99" customFormat="1" ht="11.25">
      <c r="A189" s="515" t="s">
        <v>736</v>
      </c>
      <c r="B189" s="515" t="s">
        <v>780</v>
      </c>
      <c r="C189" s="515" t="s">
        <v>869</v>
      </c>
      <c r="D189" s="515"/>
      <c r="E189" s="515"/>
      <c r="F189" s="529" t="s">
        <v>586</v>
      </c>
      <c r="G189" s="199" t="s">
        <v>566</v>
      </c>
      <c r="H189" s="201" t="s">
        <v>80</v>
      </c>
      <c r="I189" s="201" t="s">
        <v>886</v>
      </c>
      <c r="J189" s="201" t="s">
        <v>280</v>
      </c>
      <c r="K189" s="201" t="s">
        <v>292</v>
      </c>
      <c r="L189" s="225"/>
      <c r="M189" s="322"/>
      <c r="N189" s="322">
        <f>N197+N201</f>
        <v>0</v>
      </c>
      <c r="O189" s="322">
        <f>O191</f>
        <v>13.5</v>
      </c>
      <c r="P189" s="322"/>
      <c r="Q189" s="322">
        <f>Q191</f>
        <v>825.45</v>
      </c>
      <c r="R189" s="322">
        <f>R191</f>
        <v>148.86600000000001</v>
      </c>
      <c r="S189" s="322">
        <f>S191</f>
        <v>0</v>
      </c>
      <c r="T189" s="324"/>
      <c r="U189" s="324"/>
      <c r="V189" s="324"/>
      <c r="W189" s="324"/>
      <c r="X189" s="324"/>
      <c r="Y189" s="324"/>
      <c r="Z189" s="324"/>
      <c r="AA189" s="114"/>
    </row>
    <row r="190" spans="1:27" s="99" customFormat="1" ht="33.75">
      <c r="A190" s="516"/>
      <c r="B190" s="516"/>
      <c r="C190" s="516"/>
      <c r="D190" s="516"/>
      <c r="E190" s="516"/>
      <c r="F190" s="530"/>
      <c r="G190" s="199" t="s">
        <v>111</v>
      </c>
      <c r="H190" s="201" t="s">
        <v>84</v>
      </c>
      <c r="I190" s="201" t="s">
        <v>886</v>
      </c>
      <c r="J190" s="201" t="s">
        <v>280</v>
      </c>
      <c r="K190" s="201" t="s">
        <v>292</v>
      </c>
      <c r="L190" s="225"/>
      <c r="M190" s="322"/>
      <c r="N190" s="322"/>
      <c r="O190" s="322"/>
      <c r="P190" s="322"/>
      <c r="Q190" s="322"/>
      <c r="R190" s="322"/>
      <c r="S190" s="322"/>
      <c r="T190" s="322">
        <f>T191</f>
        <v>0</v>
      </c>
      <c r="U190" s="322">
        <f t="shared" ref="U190:Z190" si="25">U191+U193</f>
        <v>0</v>
      </c>
      <c r="V190" s="322">
        <f t="shared" si="25"/>
        <v>0</v>
      </c>
      <c r="W190" s="322">
        <f t="shared" si="25"/>
        <v>0</v>
      </c>
      <c r="X190" s="322">
        <f t="shared" si="25"/>
        <v>0</v>
      </c>
      <c r="Y190" s="322">
        <f t="shared" si="25"/>
        <v>0</v>
      </c>
      <c r="Z190" s="322">
        <f t="shared" si="25"/>
        <v>0</v>
      </c>
      <c r="AA190" s="114"/>
    </row>
    <row r="191" spans="1:27" s="99" customFormat="1" ht="11.25">
      <c r="A191" s="515" t="s">
        <v>736</v>
      </c>
      <c r="B191" s="352" t="s">
        <v>780</v>
      </c>
      <c r="C191" s="515" t="s">
        <v>869</v>
      </c>
      <c r="D191" s="515" t="s">
        <v>737</v>
      </c>
      <c r="E191" s="515" t="s">
        <v>737</v>
      </c>
      <c r="F191" s="529" t="s">
        <v>142</v>
      </c>
      <c r="G191" s="199" t="s">
        <v>566</v>
      </c>
      <c r="H191" s="201" t="s">
        <v>80</v>
      </c>
      <c r="I191" s="201" t="s">
        <v>886</v>
      </c>
      <c r="J191" s="201" t="s">
        <v>280</v>
      </c>
      <c r="K191" s="201" t="s">
        <v>292</v>
      </c>
      <c r="L191" s="225" t="s">
        <v>135</v>
      </c>
      <c r="M191" s="322"/>
      <c r="N191" s="322"/>
      <c r="O191" s="322">
        <v>13.5</v>
      </c>
      <c r="P191" s="322"/>
      <c r="Q191" s="322">
        <v>825.45</v>
      </c>
      <c r="R191" s="322">
        <v>148.86600000000001</v>
      </c>
      <c r="S191" s="322"/>
      <c r="T191" s="322"/>
      <c r="U191" s="322">
        <f>U200</f>
        <v>0</v>
      </c>
      <c r="V191" s="322"/>
      <c r="W191" s="322"/>
      <c r="X191" s="322"/>
      <c r="Y191" s="322"/>
      <c r="Z191" s="322"/>
      <c r="AA191" s="114"/>
    </row>
    <row r="192" spans="1:27" s="99" customFormat="1" ht="67.5">
      <c r="A192" s="528"/>
      <c r="B192" s="355"/>
      <c r="C192" s="528"/>
      <c r="D192" s="528"/>
      <c r="E192" s="528"/>
      <c r="F192" s="582"/>
      <c r="G192" s="199" t="s">
        <v>115</v>
      </c>
      <c r="H192" s="201" t="s">
        <v>116</v>
      </c>
      <c r="I192" s="201" t="s">
        <v>886</v>
      </c>
      <c r="J192" s="201" t="s">
        <v>280</v>
      </c>
      <c r="K192" s="201" t="s">
        <v>292</v>
      </c>
      <c r="L192" s="225" t="s">
        <v>135</v>
      </c>
      <c r="M192" s="322"/>
      <c r="N192" s="322"/>
      <c r="O192" s="322"/>
      <c r="P192" s="322"/>
      <c r="Q192" s="322"/>
      <c r="R192" s="322"/>
      <c r="S192" s="322"/>
      <c r="T192" s="322">
        <f>146.9+440.8</f>
        <v>587.70000000000005</v>
      </c>
      <c r="U192" s="322"/>
      <c r="V192" s="322"/>
      <c r="W192" s="322"/>
      <c r="X192" s="322"/>
      <c r="Y192" s="322"/>
      <c r="Z192" s="322"/>
      <c r="AA192" s="114"/>
    </row>
    <row r="193" spans="1:28" s="99" customFormat="1" ht="11.25">
      <c r="A193" s="516"/>
      <c r="B193" s="354"/>
      <c r="C193" s="516"/>
      <c r="D193" s="516"/>
      <c r="E193" s="516"/>
      <c r="F193" s="530"/>
      <c r="G193" s="199" t="s">
        <v>566</v>
      </c>
      <c r="H193" s="201" t="s">
        <v>84</v>
      </c>
      <c r="I193" s="201" t="s">
        <v>886</v>
      </c>
      <c r="J193" s="201" t="s">
        <v>280</v>
      </c>
      <c r="K193" s="201" t="s">
        <v>292</v>
      </c>
      <c r="L193" s="225" t="s">
        <v>135</v>
      </c>
      <c r="M193" s="322"/>
      <c r="N193" s="322"/>
      <c r="O193" s="322"/>
      <c r="P193" s="322"/>
      <c r="Q193" s="322"/>
      <c r="R193" s="322"/>
      <c r="S193" s="322"/>
      <c r="T193" s="322"/>
      <c r="U193" s="322"/>
      <c r="V193" s="322"/>
      <c r="W193" s="322"/>
      <c r="X193" s="322"/>
      <c r="Y193" s="322"/>
      <c r="Z193" s="322"/>
      <c r="AA193" s="114"/>
    </row>
    <row r="194" spans="1:28" s="99" customFormat="1" ht="11.25">
      <c r="A194" s="515" t="s">
        <v>736</v>
      </c>
      <c r="B194" s="515" t="s">
        <v>780</v>
      </c>
      <c r="C194" s="515" t="s">
        <v>869</v>
      </c>
      <c r="D194" s="515" t="s">
        <v>737</v>
      </c>
      <c r="E194" s="515" t="s">
        <v>757</v>
      </c>
      <c r="F194" s="560" t="s">
        <v>142</v>
      </c>
      <c r="G194" s="560" t="s">
        <v>117</v>
      </c>
      <c r="H194" s="201" t="s">
        <v>63</v>
      </c>
      <c r="I194" s="201" t="s">
        <v>886</v>
      </c>
      <c r="J194" s="201" t="s">
        <v>280</v>
      </c>
      <c r="K194" s="201" t="s">
        <v>293</v>
      </c>
      <c r="L194" s="225" t="s">
        <v>135</v>
      </c>
      <c r="M194" s="322"/>
      <c r="N194" s="322">
        <v>191.6</v>
      </c>
      <c r="O194" s="322">
        <v>22</v>
      </c>
      <c r="P194" s="322">
        <v>77</v>
      </c>
      <c r="Q194" s="322">
        <v>12</v>
      </c>
      <c r="R194" s="322">
        <v>32.064999999999998</v>
      </c>
      <c r="S194" s="322">
        <v>93.8</v>
      </c>
      <c r="T194" s="322"/>
      <c r="U194" s="322"/>
      <c r="V194" s="322"/>
      <c r="W194" s="322"/>
      <c r="X194" s="322"/>
      <c r="Y194" s="322"/>
      <c r="Z194" s="322"/>
      <c r="AA194" s="114">
        <v>1276.7</v>
      </c>
      <c r="AB194" s="105">
        <f>U215+U219+U220</f>
        <v>0</v>
      </c>
    </row>
    <row r="195" spans="1:28" s="99" customFormat="1" ht="11.25">
      <c r="A195" s="516"/>
      <c r="B195" s="516"/>
      <c r="C195" s="516"/>
      <c r="D195" s="516"/>
      <c r="E195" s="516"/>
      <c r="F195" s="561"/>
      <c r="G195" s="561"/>
      <c r="H195" s="201" t="s">
        <v>67</v>
      </c>
      <c r="I195" s="201" t="s">
        <v>886</v>
      </c>
      <c r="J195" s="201" t="s">
        <v>280</v>
      </c>
      <c r="K195" s="201" t="s">
        <v>293</v>
      </c>
      <c r="L195" s="225" t="s">
        <v>135</v>
      </c>
      <c r="M195" s="322"/>
      <c r="N195" s="322"/>
      <c r="O195" s="322"/>
      <c r="P195" s="322"/>
      <c r="Q195" s="322"/>
      <c r="R195" s="322"/>
      <c r="S195" s="322"/>
      <c r="T195" s="322">
        <v>102</v>
      </c>
      <c r="U195" s="326">
        <v>0</v>
      </c>
      <c r="V195" s="326">
        <f>43.9+102.5</f>
        <v>146.4</v>
      </c>
      <c r="W195" s="322">
        <v>0</v>
      </c>
      <c r="X195" s="322">
        <v>0</v>
      </c>
      <c r="Y195" s="322">
        <f>X195*1.053</f>
        <v>0</v>
      </c>
      <c r="Z195" s="322">
        <f>Y195*1.053</f>
        <v>0</v>
      </c>
      <c r="AA195" s="119">
        <f>T197+T225</f>
        <v>0</v>
      </c>
    </row>
    <row r="196" spans="1:28" s="99" customFormat="1" ht="33" customHeight="1">
      <c r="A196" s="209" t="s">
        <v>736</v>
      </c>
      <c r="B196" s="209" t="s">
        <v>780</v>
      </c>
      <c r="C196" s="209" t="s">
        <v>869</v>
      </c>
      <c r="D196" s="209" t="s">
        <v>737</v>
      </c>
      <c r="E196" s="209" t="s">
        <v>780</v>
      </c>
      <c r="F196" s="199" t="s">
        <v>142</v>
      </c>
      <c r="G196" s="199" t="s">
        <v>111</v>
      </c>
      <c r="H196" s="201" t="s">
        <v>84</v>
      </c>
      <c r="I196" s="201" t="s">
        <v>886</v>
      </c>
      <c r="J196" s="201" t="s">
        <v>904</v>
      </c>
      <c r="K196" s="201" t="s">
        <v>293</v>
      </c>
      <c r="L196" s="225" t="s">
        <v>135</v>
      </c>
      <c r="M196" s="372">
        <v>284.2</v>
      </c>
      <c r="N196" s="372">
        <v>284.2</v>
      </c>
      <c r="O196" s="322"/>
      <c r="P196" s="322"/>
      <c r="Q196" s="322"/>
      <c r="R196" s="322"/>
      <c r="S196" s="322"/>
      <c r="T196" s="322"/>
      <c r="U196" s="326">
        <v>0</v>
      </c>
      <c r="V196" s="326">
        <f>216.6</f>
        <v>216.6</v>
      </c>
      <c r="W196" s="322"/>
      <c r="X196" s="322"/>
      <c r="Y196" s="322"/>
      <c r="Z196" s="322"/>
      <c r="AA196" s="114"/>
    </row>
    <row r="197" spans="1:28" s="99" customFormat="1" ht="33" customHeight="1">
      <c r="A197" s="209" t="s">
        <v>736</v>
      </c>
      <c r="B197" s="209" t="s">
        <v>780</v>
      </c>
      <c r="C197" s="209" t="s">
        <v>869</v>
      </c>
      <c r="D197" s="209" t="s">
        <v>737</v>
      </c>
      <c r="E197" s="209" t="s">
        <v>780</v>
      </c>
      <c r="F197" s="199" t="s">
        <v>142</v>
      </c>
      <c r="G197" s="199" t="s">
        <v>117</v>
      </c>
      <c r="H197" s="201" t="s">
        <v>63</v>
      </c>
      <c r="I197" s="201" t="s">
        <v>886</v>
      </c>
      <c r="J197" s="201" t="s">
        <v>280</v>
      </c>
      <c r="K197" s="201" t="s">
        <v>294</v>
      </c>
      <c r="L197" s="225" t="s">
        <v>135</v>
      </c>
      <c r="M197" s="322"/>
      <c r="N197" s="322"/>
      <c r="O197" s="322">
        <v>71</v>
      </c>
      <c r="P197" s="322">
        <v>383</v>
      </c>
      <c r="Q197" s="322">
        <v>163.18</v>
      </c>
      <c r="R197" s="322"/>
      <c r="S197" s="322"/>
      <c r="T197" s="322"/>
      <c r="U197" s="322"/>
      <c r="V197" s="322"/>
      <c r="W197" s="322"/>
      <c r="X197" s="322"/>
      <c r="Y197" s="322"/>
      <c r="Z197" s="322"/>
      <c r="AA197" s="114"/>
    </row>
    <row r="198" spans="1:28" s="99" customFormat="1" ht="78.75">
      <c r="A198" s="209" t="s">
        <v>736</v>
      </c>
      <c r="B198" s="209" t="s">
        <v>780</v>
      </c>
      <c r="C198" s="209" t="s">
        <v>869</v>
      </c>
      <c r="D198" s="209" t="s">
        <v>737</v>
      </c>
      <c r="E198" s="209" t="s">
        <v>803</v>
      </c>
      <c r="F198" s="199" t="s">
        <v>142</v>
      </c>
      <c r="G198" s="199" t="s">
        <v>117</v>
      </c>
      <c r="H198" s="201" t="s">
        <v>63</v>
      </c>
      <c r="I198" s="201" t="s">
        <v>886</v>
      </c>
      <c r="J198" s="201" t="s">
        <v>280</v>
      </c>
      <c r="K198" s="201" t="s">
        <v>295</v>
      </c>
      <c r="L198" s="225" t="s">
        <v>135</v>
      </c>
      <c r="M198" s="322"/>
      <c r="N198" s="322"/>
      <c r="O198" s="322">
        <v>750</v>
      </c>
      <c r="P198" s="322"/>
      <c r="Q198" s="322"/>
      <c r="R198" s="322"/>
      <c r="S198" s="322"/>
      <c r="T198" s="322"/>
      <c r="U198" s="322"/>
      <c r="V198" s="322"/>
      <c r="W198" s="322"/>
      <c r="X198" s="322"/>
      <c r="Y198" s="322"/>
      <c r="Z198" s="322"/>
      <c r="AA198" s="114"/>
    </row>
    <row r="199" spans="1:28" s="99" customFormat="1" ht="22.5">
      <c r="A199" s="209" t="s">
        <v>736</v>
      </c>
      <c r="B199" s="209" t="s">
        <v>780</v>
      </c>
      <c r="C199" s="209" t="s">
        <v>869</v>
      </c>
      <c r="D199" s="206" t="s">
        <v>815</v>
      </c>
      <c r="E199" s="206" t="s">
        <v>757</v>
      </c>
      <c r="F199" s="198" t="s">
        <v>192</v>
      </c>
      <c r="G199" s="199" t="s">
        <v>117</v>
      </c>
      <c r="H199" s="272" t="s">
        <v>67</v>
      </c>
      <c r="I199" s="201" t="s">
        <v>886</v>
      </c>
      <c r="J199" s="201" t="s">
        <v>280</v>
      </c>
      <c r="K199" s="272" t="s">
        <v>984</v>
      </c>
      <c r="L199" s="225" t="s">
        <v>135</v>
      </c>
      <c r="M199" s="322"/>
      <c r="N199" s="322"/>
      <c r="O199" s="322">
        <v>127.4</v>
      </c>
      <c r="P199" s="322">
        <v>140</v>
      </c>
      <c r="Q199" s="322">
        <v>250.6</v>
      </c>
      <c r="R199" s="322"/>
      <c r="S199" s="322"/>
      <c r="T199" s="322"/>
      <c r="U199" s="326"/>
      <c r="V199" s="326">
        <v>6.6</v>
      </c>
      <c r="W199" s="322"/>
      <c r="X199" s="322"/>
      <c r="Y199" s="322"/>
      <c r="Z199" s="322"/>
      <c r="AA199" s="114"/>
    </row>
    <row r="200" spans="1:28" s="99" customFormat="1" ht="22.5">
      <c r="A200" s="206" t="s">
        <v>736</v>
      </c>
      <c r="B200" s="206" t="s">
        <v>780</v>
      </c>
      <c r="C200" s="206" t="s">
        <v>869</v>
      </c>
      <c r="D200" s="206" t="s">
        <v>815</v>
      </c>
      <c r="E200" s="206" t="s">
        <v>780</v>
      </c>
      <c r="F200" s="198" t="s">
        <v>985</v>
      </c>
      <c r="G200" s="199" t="s">
        <v>117</v>
      </c>
      <c r="H200" s="272" t="s">
        <v>67</v>
      </c>
      <c r="I200" s="201" t="s">
        <v>886</v>
      </c>
      <c r="J200" s="201" t="s">
        <v>280</v>
      </c>
      <c r="K200" s="272" t="s">
        <v>986</v>
      </c>
      <c r="L200" s="225" t="s">
        <v>135</v>
      </c>
      <c r="M200" s="322"/>
      <c r="N200" s="322"/>
      <c r="O200" s="322"/>
      <c r="P200" s="322"/>
      <c r="Q200" s="322"/>
      <c r="R200" s="322"/>
      <c r="S200" s="322"/>
      <c r="T200" s="322"/>
      <c r="U200" s="326"/>
      <c r="V200" s="326">
        <v>85.6</v>
      </c>
      <c r="W200" s="322"/>
      <c r="X200" s="322"/>
      <c r="Y200" s="322"/>
      <c r="Z200" s="322"/>
      <c r="AA200" s="114"/>
    </row>
    <row r="201" spans="1:28" s="99" customFormat="1" ht="33.75">
      <c r="A201" s="209" t="s">
        <v>736</v>
      </c>
      <c r="B201" s="209" t="s">
        <v>780</v>
      </c>
      <c r="C201" s="209" t="s">
        <v>883</v>
      </c>
      <c r="D201" s="209"/>
      <c r="E201" s="209"/>
      <c r="F201" s="199" t="s">
        <v>157</v>
      </c>
      <c r="G201" s="199" t="s">
        <v>117</v>
      </c>
      <c r="H201" s="321" t="s">
        <v>63</v>
      </c>
      <c r="I201" s="321" t="s">
        <v>886</v>
      </c>
      <c r="J201" s="321" t="s">
        <v>859</v>
      </c>
      <c r="K201" s="321" t="s">
        <v>296</v>
      </c>
      <c r="L201" s="225"/>
      <c r="M201" s="322"/>
      <c r="N201" s="322"/>
      <c r="O201" s="322"/>
      <c r="P201" s="322"/>
      <c r="Q201" s="322">
        <v>749.3</v>
      </c>
      <c r="R201" s="322"/>
      <c r="S201" s="322"/>
      <c r="T201" s="322"/>
      <c r="U201" s="322"/>
      <c r="V201" s="322"/>
      <c r="W201" s="322"/>
      <c r="X201" s="322"/>
      <c r="Y201" s="322"/>
      <c r="Z201" s="322"/>
      <c r="AA201" s="114"/>
    </row>
    <row r="202" spans="1:28" s="99" customFormat="1" ht="45">
      <c r="A202" s="209" t="s">
        <v>736</v>
      </c>
      <c r="B202" s="209" t="s">
        <v>780</v>
      </c>
      <c r="C202" s="209" t="s">
        <v>883</v>
      </c>
      <c r="D202" s="209"/>
      <c r="E202" s="209"/>
      <c r="F202" s="199" t="s">
        <v>297</v>
      </c>
      <c r="G202" s="199" t="s">
        <v>117</v>
      </c>
      <c r="H202" s="321" t="s">
        <v>67</v>
      </c>
      <c r="I202" s="321" t="s">
        <v>886</v>
      </c>
      <c r="J202" s="321" t="s">
        <v>859</v>
      </c>
      <c r="K202" s="321" t="s">
        <v>298</v>
      </c>
      <c r="L202" s="225" t="s">
        <v>135</v>
      </c>
      <c r="M202" s="322"/>
      <c r="N202" s="322"/>
      <c r="O202" s="322"/>
      <c r="P202" s="322"/>
      <c r="Q202" s="322">
        <v>749.3</v>
      </c>
      <c r="R202" s="322"/>
      <c r="S202" s="322"/>
      <c r="T202" s="322">
        <v>19.8</v>
      </c>
      <c r="U202" s="322"/>
      <c r="V202" s="322"/>
      <c r="W202" s="322"/>
      <c r="X202" s="322"/>
      <c r="Y202" s="322"/>
      <c r="Z202" s="322"/>
      <c r="AA202" s="114"/>
    </row>
    <row r="203" spans="1:28" s="99" customFormat="1" ht="22.5" hidden="1" customHeight="1">
      <c r="A203" s="209" t="s">
        <v>736</v>
      </c>
      <c r="B203" s="209" t="s">
        <v>780</v>
      </c>
      <c r="C203" s="209" t="s">
        <v>904</v>
      </c>
      <c r="D203" s="209"/>
      <c r="E203" s="209"/>
      <c r="F203" s="199" t="s">
        <v>299</v>
      </c>
      <c r="G203" s="199" t="s">
        <v>117</v>
      </c>
      <c r="H203" s="321" t="s">
        <v>63</v>
      </c>
      <c r="I203" s="321" t="s">
        <v>886</v>
      </c>
      <c r="J203" s="321" t="s">
        <v>859</v>
      </c>
      <c r="K203" s="321" t="s">
        <v>300</v>
      </c>
      <c r="L203" s="225"/>
      <c r="M203" s="322"/>
      <c r="N203" s="322"/>
      <c r="O203" s="322"/>
      <c r="P203" s="322"/>
      <c r="Q203" s="322"/>
      <c r="R203" s="322"/>
      <c r="S203" s="322"/>
      <c r="T203" s="322"/>
      <c r="U203" s="322"/>
      <c r="V203" s="322"/>
      <c r="W203" s="322"/>
      <c r="X203" s="322"/>
      <c r="Y203" s="322"/>
      <c r="Z203" s="322"/>
      <c r="AA203" s="114"/>
    </row>
    <row r="204" spans="1:28" s="99" customFormat="1" ht="22.5">
      <c r="A204" s="515" t="s">
        <v>736</v>
      </c>
      <c r="B204" s="515" t="s">
        <v>780</v>
      </c>
      <c r="C204" s="515" t="s">
        <v>908</v>
      </c>
      <c r="D204" s="515"/>
      <c r="E204" s="515"/>
      <c r="F204" s="529" t="s">
        <v>301</v>
      </c>
      <c r="G204" s="199" t="s">
        <v>117</v>
      </c>
      <c r="H204" s="321" t="s">
        <v>63</v>
      </c>
      <c r="I204" s="321" t="s">
        <v>886</v>
      </c>
      <c r="J204" s="321" t="s">
        <v>859</v>
      </c>
      <c r="K204" s="321" t="s">
        <v>302</v>
      </c>
      <c r="L204" s="225" t="s">
        <v>303</v>
      </c>
      <c r="M204" s="322"/>
      <c r="N204" s="322"/>
      <c r="O204" s="322"/>
      <c r="P204" s="322">
        <v>556</v>
      </c>
      <c r="Q204" s="322">
        <v>1523.7190000000001</v>
      </c>
      <c r="R204" s="322">
        <v>1637.884</v>
      </c>
      <c r="S204" s="322">
        <v>1625.4</v>
      </c>
      <c r="T204" s="324"/>
      <c r="U204" s="324"/>
      <c r="V204" s="324"/>
      <c r="W204" s="324"/>
      <c r="X204" s="324"/>
      <c r="Y204" s="324"/>
      <c r="Z204" s="324"/>
      <c r="AA204" s="114"/>
    </row>
    <row r="205" spans="1:28" s="99" customFormat="1" ht="22.5">
      <c r="A205" s="516"/>
      <c r="B205" s="516"/>
      <c r="C205" s="516"/>
      <c r="D205" s="516"/>
      <c r="E205" s="516"/>
      <c r="F205" s="530"/>
      <c r="G205" s="199" t="s">
        <v>844</v>
      </c>
      <c r="H205" s="321" t="s">
        <v>67</v>
      </c>
      <c r="I205" s="321" t="s">
        <v>886</v>
      </c>
      <c r="J205" s="321" t="s">
        <v>859</v>
      </c>
      <c r="K205" s="321" t="s">
        <v>302</v>
      </c>
      <c r="L205" s="225" t="s">
        <v>303</v>
      </c>
      <c r="M205" s="322"/>
      <c r="N205" s="322"/>
      <c r="O205" s="322"/>
      <c r="P205" s="322"/>
      <c r="Q205" s="322"/>
      <c r="R205" s="322"/>
      <c r="S205" s="322"/>
      <c r="T205" s="322">
        <v>1613</v>
      </c>
      <c r="U205" s="322">
        <v>859.7</v>
      </c>
      <c r="V205" s="322">
        <v>3008.7</v>
      </c>
      <c r="W205" s="322">
        <v>3008.7</v>
      </c>
      <c r="X205" s="322">
        <v>3008.7</v>
      </c>
      <c r="Y205" s="322">
        <v>3008.7</v>
      </c>
      <c r="Z205" s="322">
        <v>3008.7</v>
      </c>
      <c r="AA205" s="114"/>
    </row>
    <row r="206" spans="1:28" s="99" customFormat="1" ht="25.5" customHeight="1">
      <c r="A206" s="348" t="s">
        <v>736</v>
      </c>
      <c r="B206" s="348" t="s">
        <v>780</v>
      </c>
      <c r="C206" s="348" t="s">
        <v>908</v>
      </c>
      <c r="D206" s="348" t="s">
        <v>815</v>
      </c>
      <c r="E206" s="348" t="s">
        <v>815</v>
      </c>
      <c r="F206" s="349" t="s">
        <v>983</v>
      </c>
      <c r="G206" s="199" t="s">
        <v>844</v>
      </c>
      <c r="H206" s="321" t="s">
        <v>67</v>
      </c>
      <c r="I206" s="321" t="s">
        <v>886</v>
      </c>
      <c r="J206" s="321" t="s">
        <v>859</v>
      </c>
      <c r="K206" s="321" t="s">
        <v>304</v>
      </c>
      <c r="L206" s="225" t="s">
        <v>987</v>
      </c>
      <c r="M206" s="322"/>
      <c r="N206" s="322"/>
      <c r="O206" s="322"/>
      <c r="P206" s="322"/>
      <c r="Q206" s="322"/>
      <c r="R206" s="322"/>
      <c r="S206" s="322"/>
      <c r="T206" s="322"/>
      <c r="U206" s="322"/>
      <c r="V206" s="326">
        <v>10.4</v>
      </c>
      <c r="W206" s="322"/>
      <c r="X206" s="322"/>
      <c r="Y206" s="322"/>
      <c r="Z206" s="322"/>
      <c r="AA206" s="114"/>
    </row>
    <row r="207" spans="1:28" s="99" customFormat="1" ht="25.5" customHeight="1">
      <c r="A207" s="348" t="s">
        <v>736</v>
      </c>
      <c r="B207" s="348" t="s">
        <v>780</v>
      </c>
      <c r="C207" s="348" t="s">
        <v>908</v>
      </c>
      <c r="D207" s="373">
        <v>6</v>
      </c>
      <c r="E207" s="348" t="s">
        <v>815</v>
      </c>
      <c r="F207" s="349" t="s">
        <v>983</v>
      </c>
      <c r="G207" s="199" t="s">
        <v>844</v>
      </c>
      <c r="H207" s="321" t="s">
        <v>67</v>
      </c>
      <c r="I207" s="321" t="s">
        <v>886</v>
      </c>
      <c r="J207" s="321" t="s">
        <v>859</v>
      </c>
      <c r="K207" s="321" t="s">
        <v>304</v>
      </c>
      <c r="L207" s="225" t="s">
        <v>305</v>
      </c>
      <c r="M207" s="322"/>
      <c r="N207" s="322"/>
      <c r="O207" s="322"/>
      <c r="P207" s="322"/>
      <c r="Q207" s="322"/>
      <c r="R207" s="322"/>
      <c r="S207" s="322"/>
      <c r="T207" s="322"/>
      <c r="U207" s="322">
        <v>1634</v>
      </c>
      <c r="V207" s="326">
        <v>4499.2</v>
      </c>
      <c r="W207" s="322"/>
      <c r="X207" s="322"/>
      <c r="Y207" s="322"/>
      <c r="Z207" s="322"/>
      <c r="AA207" s="114"/>
    </row>
    <row r="208" spans="1:28" s="99" customFormat="1" ht="11.25">
      <c r="A208" s="595" t="s">
        <v>736</v>
      </c>
      <c r="B208" s="595" t="s">
        <v>803</v>
      </c>
      <c r="C208" s="595"/>
      <c r="D208" s="595"/>
      <c r="E208" s="595"/>
      <c r="F208" s="598" t="s">
        <v>804</v>
      </c>
      <c r="G208" s="260" t="s">
        <v>109</v>
      </c>
      <c r="H208" s="188"/>
      <c r="I208" s="188"/>
      <c r="J208" s="188"/>
      <c r="K208" s="188"/>
      <c r="L208" s="185"/>
      <c r="M208" s="374">
        <f t="shared" ref="M208:S208" si="26">M209+M210+M212</f>
        <v>1415.1000000000001</v>
      </c>
      <c r="N208" s="374">
        <f t="shared" si="26"/>
        <v>1235.8</v>
      </c>
      <c r="O208" s="374">
        <f t="shared" si="26"/>
        <v>1264.5</v>
      </c>
      <c r="P208" s="374">
        <f t="shared" si="26"/>
        <v>1105.9000000000001</v>
      </c>
      <c r="Q208" s="374">
        <f t="shared" si="26"/>
        <v>1134.2670000000001</v>
      </c>
      <c r="R208" s="374">
        <f t="shared" si="26"/>
        <v>2046.4</v>
      </c>
      <c r="S208" s="374">
        <f t="shared" si="26"/>
        <v>1689.6</v>
      </c>
      <c r="T208" s="374">
        <f>T209+T211+T213</f>
        <v>1039.6999999999998</v>
      </c>
      <c r="U208" s="374">
        <f t="shared" ref="U208:Z208" si="27">U209+U211+U213+U214</f>
        <v>2187.8000000000002</v>
      </c>
      <c r="V208" s="374">
        <f t="shared" si="27"/>
        <v>0</v>
      </c>
      <c r="W208" s="374">
        <f t="shared" si="27"/>
        <v>0</v>
      </c>
      <c r="X208" s="374">
        <f t="shared" si="27"/>
        <v>0</v>
      </c>
      <c r="Y208" s="374">
        <f t="shared" si="27"/>
        <v>0</v>
      </c>
      <c r="Z208" s="374">
        <f t="shared" si="27"/>
        <v>0</v>
      </c>
      <c r="AA208" s="114"/>
    </row>
    <row r="209" spans="1:28" s="99" customFormat="1" ht="22.5">
      <c r="A209" s="596"/>
      <c r="B209" s="596"/>
      <c r="C209" s="596"/>
      <c r="D209" s="596"/>
      <c r="E209" s="596"/>
      <c r="F209" s="599"/>
      <c r="G209" s="375" t="s">
        <v>112</v>
      </c>
      <c r="H209" s="376" t="s">
        <v>86</v>
      </c>
      <c r="I209" s="376" t="s">
        <v>886</v>
      </c>
      <c r="J209" s="376" t="s">
        <v>886</v>
      </c>
      <c r="K209" s="376" t="s">
        <v>306</v>
      </c>
      <c r="L209" s="282"/>
      <c r="M209" s="377">
        <f>M216</f>
        <v>108.7</v>
      </c>
      <c r="N209" s="377">
        <f>N216</f>
        <v>90</v>
      </c>
      <c r="O209" s="377">
        <f>O216</f>
        <v>50</v>
      </c>
      <c r="P209" s="377">
        <f>P216</f>
        <v>24</v>
      </c>
      <c r="Q209" s="374">
        <f>Q216</f>
        <v>60</v>
      </c>
      <c r="R209" s="374">
        <f>R215</f>
        <v>84.300000000000011</v>
      </c>
      <c r="S209" s="374">
        <f>S215</f>
        <v>52.1</v>
      </c>
      <c r="T209" s="374">
        <f>T215</f>
        <v>0</v>
      </c>
      <c r="U209" s="374">
        <f>U215</f>
        <v>0</v>
      </c>
      <c r="V209" s="374">
        <f>V216</f>
        <v>0</v>
      </c>
      <c r="W209" s="374">
        <f>W216</f>
        <v>0</v>
      </c>
      <c r="X209" s="374">
        <f>X216</f>
        <v>0</v>
      </c>
      <c r="Y209" s="374">
        <f>Y216</f>
        <v>0</v>
      </c>
      <c r="Z209" s="374">
        <f>Z216</f>
        <v>0</v>
      </c>
      <c r="AA209" s="114"/>
    </row>
    <row r="210" spans="1:28" s="99" customFormat="1" ht="23.25" customHeight="1">
      <c r="A210" s="596"/>
      <c r="B210" s="596"/>
      <c r="C210" s="596"/>
      <c r="D210" s="596"/>
      <c r="E210" s="596"/>
      <c r="F210" s="599"/>
      <c r="G210" s="375" t="s">
        <v>307</v>
      </c>
      <c r="H210" s="376" t="s">
        <v>86</v>
      </c>
      <c r="I210" s="376" t="s">
        <v>886</v>
      </c>
      <c r="J210" s="376" t="s">
        <v>886</v>
      </c>
      <c r="K210" s="376" t="s">
        <v>306</v>
      </c>
      <c r="L210" s="282"/>
      <c r="M210" s="377">
        <f>M222</f>
        <v>1128</v>
      </c>
      <c r="N210" s="377">
        <f>N222</f>
        <v>1145.8</v>
      </c>
      <c r="O210" s="377">
        <f>O222</f>
        <v>1214.5</v>
      </c>
      <c r="P210" s="377">
        <f>P222+P224+P225+P219</f>
        <v>1081.9000000000001</v>
      </c>
      <c r="Q210" s="374">
        <f>Q222+Q219</f>
        <v>1074.2670000000001</v>
      </c>
      <c r="R210" s="374">
        <f>R226+R230+R231+R232</f>
        <v>954</v>
      </c>
      <c r="S210" s="374"/>
      <c r="T210" s="324"/>
      <c r="U210" s="324"/>
      <c r="V210" s="324"/>
      <c r="W210" s="324"/>
      <c r="X210" s="324"/>
      <c r="Y210" s="324"/>
      <c r="Z210" s="324"/>
      <c r="AA210" s="114"/>
    </row>
    <row r="211" spans="1:28" s="99" customFormat="1" ht="26.25" customHeight="1">
      <c r="A211" s="596"/>
      <c r="B211" s="596"/>
      <c r="C211" s="596"/>
      <c r="D211" s="596"/>
      <c r="E211" s="596"/>
      <c r="F211" s="599"/>
      <c r="G211" s="375" t="s">
        <v>307</v>
      </c>
      <c r="H211" s="376" t="s">
        <v>84</v>
      </c>
      <c r="I211" s="376" t="s">
        <v>886</v>
      </c>
      <c r="J211" s="376" t="s">
        <v>886</v>
      </c>
      <c r="K211" s="376" t="s">
        <v>306</v>
      </c>
      <c r="L211" s="282"/>
      <c r="M211" s="377"/>
      <c r="N211" s="377"/>
      <c r="O211" s="377"/>
      <c r="P211" s="377"/>
      <c r="Q211" s="374"/>
      <c r="R211" s="374"/>
      <c r="S211" s="374"/>
      <c r="T211" s="374">
        <f t="shared" ref="T211:Z211" si="28">T229+T234+T227</f>
        <v>1039.6999999999998</v>
      </c>
      <c r="U211" s="374">
        <f t="shared" si="28"/>
        <v>713</v>
      </c>
      <c r="V211" s="374">
        <f t="shared" si="28"/>
        <v>0</v>
      </c>
      <c r="W211" s="374">
        <f t="shared" si="28"/>
        <v>0</v>
      </c>
      <c r="X211" s="374">
        <f t="shared" si="28"/>
        <v>0</v>
      </c>
      <c r="Y211" s="374">
        <f t="shared" si="28"/>
        <v>0</v>
      </c>
      <c r="Z211" s="374">
        <f t="shared" si="28"/>
        <v>0</v>
      </c>
      <c r="AA211" s="114"/>
    </row>
    <row r="212" spans="1:28" s="99" customFormat="1" ht="34.5" customHeight="1">
      <c r="A212" s="596"/>
      <c r="B212" s="596"/>
      <c r="C212" s="596"/>
      <c r="D212" s="596"/>
      <c r="E212" s="596"/>
      <c r="F212" s="599"/>
      <c r="G212" s="375" t="s">
        <v>308</v>
      </c>
      <c r="H212" s="376" t="s">
        <v>86</v>
      </c>
      <c r="I212" s="376" t="s">
        <v>886</v>
      </c>
      <c r="J212" s="376" t="s">
        <v>886</v>
      </c>
      <c r="K212" s="376" t="s">
        <v>306</v>
      </c>
      <c r="L212" s="282"/>
      <c r="M212" s="377">
        <f>M217</f>
        <v>178.4</v>
      </c>
      <c r="N212" s="377">
        <f>N217</f>
        <v>0</v>
      </c>
      <c r="O212" s="377">
        <f>O217</f>
        <v>0</v>
      </c>
      <c r="P212" s="377">
        <f>P217</f>
        <v>0</v>
      </c>
      <c r="Q212" s="374">
        <f>Q217</f>
        <v>0</v>
      </c>
      <c r="R212" s="374">
        <f>R220</f>
        <v>1008.1</v>
      </c>
      <c r="S212" s="374">
        <f>S222+S226+S228+S232</f>
        <v>1637.5</v>
      </c>
      <c r="T212" s="324"/>
      <c r="U212" s="324"/>
      <c r="V212" s="324"/>
      <c r="W212" s="324"/>
      <c r="X212" s="324"/>
      <c r="Y212" s="324"/>
      <c r="Z212" s="324"/>
      <c r="AA212" s="114"/>
    </row>
    <row r="213" spans="1:28" s="99" customFormat="1" ht="34.5" customHeight="1">
      <c r="A213" s="596"/>
      <c r="B213" s="596"/>
      <c r="C213" s="596"/>
      <c r="D213" s="596"/>
      <c r="E213" s="596"/>
      <c r="F213" s="599"/>
      <c r="G213" s="375" t="s">
        <v>308</v>
      </c>
      <c r="H213" s="376" t="s">
        <v>114</v>
      </c>
      <c r="I213" s="376" t="s">
        <v>886</v>
      </c>
      <c r="J213" s="376" t="s">
        <v>886</v>
      </c>
      <c r="K213" s="376" t="s">
        <v>306</v>
      </c>
      <c r="L213" s="282"/>
      <c r="M213" s="377"/>
      <c r="N213" s="377"/>
      <c r="O213" s="377"/>
      <c r="P213" s="377"/>
      <c r="Q213" s="374"/>
      <c r="R213" s="374"/>
      <c r="S213" s="374"/>
      <c r="T213" s="374">
        <f t="shared" ref="T213:Z213" si="29">T221</f>
        <v>0</v>
      </c>
      <c r="U213" s="374">
        <f t="shared" si="29"/>
        <v>0</v>
      </c>
      <c r="V213" s="374">
        <f t="shared" si="29"/>
        <v>0</v>
      </c>
      <c r="W213" s="374">
        <f t="shared" si="29"/>
        <v>0</v>
      </c>
      <c r="X213" s="374">
        <f t="shared" si="29"/>
        <v>0</v>
      </c>
      <c r="Y213" s="374">
        <f t="shared" si="29"/>
        <v>0</v>
      </c>
      <c r="Z213" s="374">
        <f t="shared" si="29"/>
        <v>0</v>
      </c>
      <c r="AA213" s="114"/>
    </row>
    <row r="214" spans="1:28" s="99" customFormat="1" ht="34.5" customHeight="1">
      <c r="A214" s="597"/>
      <c r="B214" s="597"/>
      <c r="C214" s="597"/>
      <c r="D214" s="597"/>
      <c r="E214" s="597"/>
      <c r="F214" s="600"/>
      <c r="G214" s="378" t="s">
        <v>309</v>
      </c>
      <c r="H214" s="376" t="s">
        <v>67</v>
      </c>
      <c r="I214" s="376" t="s">
        <v>886</v>
      </c>
      <c r="J214" s="376" t="s">
        <v>886</v>
      </c>
      <c r="K214" s="376" t="s">
        <v>306</v>
      </c>
      <c r="L214" s="282"/>
      <c r="M214" s="377"/>
      <c r="N214" s="377"/>
      <c r="O214" s="377"/>
      <c r="P214" s="377"/>
      <c r="Q214" s="374"/>
      <c r="R214" s="374"/>
      <c r="S214" s="374"/>
      <c r="T214" s="374"/>
      <c r="U214" s="374">
        <f t="shared" ref="U214:Z214" si="30">U233</f>
        <v>1474.8</v>
      </c>
      <c r="V214" s="374">
        <f t="shared" si="30"/>
        <v>0</v>
      </c>
      <c r="W214" s="374">
        <f t="shared" si="30"/>
        <v>0</v>
      </c>
      <c r="X214" s="374">
        <f t="shared" si="30"/>
        <v>0</v>
      </c>
      <c r="Y214" s="374">
        <f t="shared" si="30"/>
        <v>0</v>
      </c>
      <c r="Z214" s="374">
        <f t="shared" si="30"/>
        <v>0</v>
      </c>
      <c r="AA214" s="114"/>
    </row>
    <row r="215" spans="1:28" s="99" customFormat="1" ht="34.5" customHeight="1">
      <c r="A215" s="209" t="s">
        <v>736</v>
      </c>
      <c r="B215" s="209" t="s">
        <v>803</v>
      </c>
      <c r="C215" s="209" t="s">
        <v>736</v>
      </c>
      <c r="D215" s="209"/>
      <c r="E215" s="209"/>
      <c r="F215" s="199" t="s">
        <v>310</v>
      </c>
      <c r="G215" s="199" t="s">
        <v>112</v>
      </c>
      <c r="H215" s="321" t="s">
        <v>86</v>
      </c>
      <c r="I215" s="321" t="s">
        <v>886</v>
      </c>
      <c r="J215" s="321" t="s">
        <v>886</v>
      </c>
      <c r="K215" s="321" t="s">
        <v>311</v>
      </c>
      <c r="L215" s="209"/>
      <c r="M215" s="322">
        <f>M216</f>
        <v>108.7</v>
      </c>
      <c r="N215" s="322">
        <f>N216</f>
        <v>90</v>
      </c>
      <c r="O215" s="322">
        <f>O216</f>
        <v>50</v>
      </c>
      <c r="P215" s="322">
        <f>P216</f>
        <v>24</v>
      </c>
      <c r="Q215" s="322">
        <f>Q216</f>
        <v>60</v>
      </c>
      <c r="R215" s="322">
        <f>R216+R219</f>
        <v>84.300000000000011</v>
      </c>
      <c r="S215" s="322">
        <f>S216+S219</f>
        <v>52.1</v>
      </c>
      <c r="T215" s="322">
        <f>T216+T219</f>
        <v>0</v>
      </c>
      <c r="U215" s="322">
        <f>U216+U219</f>
        <v>0</v>
      </c>
      <c r="V215" s="322">
        <v>0</v>
      </c>
      <c r="W215" s="322"/>
      <c r="X215" s="322"/>
      <c r="Y215" s="322"/>
      <c r="Z215" s="322"/>
      <c r="AA215" s="114"/>
    </row>
    <row r="216" spans="1:28" s="99" customFormat="1" ht="34.5" customHeight="1">
      <c r="A216" s="515" t="s">
        <v>736</v>
      </c>
      <c r="B216" s="515" t="s">
        <v>803</v>
      </c>
      <c r="C216" s="515" t="s">
        <v>736</v>
      </c>
      <c r="D216" s="515" t="s">
        <v>737</v>
      </c>
      <c r="E216" s="515" t="s">
        <v>737</v>
      </c>
      <c r="F216" s="529" t="s">
        <v>312</v>
      </c>
      <c r="G216" s="199" t="s">
        <v>112</v>
      </c>
      <c r="H216" s="321" t="s">
        <v>86</v>
      </c>
      <c r="I216" s="321" t="s">
        <v>886</v>
      </c>
      <c r="J216" s="321" t="s">
        <v>886</v>
      </c>
      <c r="K216" s="321" t="s">
        <v>313</v>
      </c>
      <c r="L216" s="225" t="s">
        <v>135</v>
      </c>
      <c r="M216" s="322">
        <v>108.7</v>
      </c>
      <c r="N216" s="322">
        <v>90</v>
      </c>
      <c r="O216" s="322">
        <v>50</v>
      </c>
      <c r="P216" s="322">
        <v>24</v>
      </c>
      <c r="Q216" s="322">
        <v>60</v>
      </c>
      <c r="R216" s="322">
        <v>35.200000000000003</v>
      </c>
      <c r="S216" s="322"/>
      <c r="T216" s="322"/>
      <c r="U216" s="322"/>
      <c r="V216" s="322"/>
      <c r="W216" s="322"/>
      <c r="X216" s="322"/>
      <c r="Y216" s="322"/>
      <c r="Z216" s="322"/>
      <c r="AA216" s="114"/>
    </row>
    <row r="217" spans="1:28" s="99" customFormat="1" ht="34.5" customHeight="1">
      <c r="A217" s="516"/>
      <c r="B217" s="516"/>
      <c r="C217" s="516"/>
      <c r="D217" s="516"/>
      <c r="E217" s="516"/>
      <c r="F217" s="530"/>
      <c r="G217" s="199" t="s">
        <v>117</v>
      </c>
      <c r="H217" s="321" t="s">
        <v>63</v>
      </c>
      <c r="I217" s="321" t="s">
        <v>886</v>
      </c>
      <c r="J217" s="321" t="s">
        <v>886</v>
      </c>
      <c r="K217" s="321" t="s">
        <v>314</v>
      </c>
      <c r="L217" s="225" t="s">
        <v>135</v>
      </c>
      <c r="M217" s="322">
        <v>178.4</v>
      </c>
      <c r="N217" s="322"/>
      <c r="O217" s="322"/>
      <c r="P217" s="322"/>
      <c r="Q217" s="322"/>
      <c r="R217" s="322"/>
      <c r="S217" s="322"/>
      <c r="T217" s="322"/>
      <c r="U217" s="322"/>
      <c r="V217" s="322"/>
      <c r="W217" s="322"/>
      <c r="X217" s="322"/>
      <c r="Y217" s="322"/>
      <c r="Z217" s="322"/>
      <c r="AA217" s="114"/>
    </row>
    <row r="218" spans="1:28" s="99" customFormat="1" ht="34.5" customHeight="1">
      <c r="A218" s="209" t="s">
        <v>736</v>
      </c>
      <c r="B218" s="209" t="s">
        <v>803</v>
      </c>
      <c r="C218" s="209" t="s">
        <v>848</v>
      </c>
      <c r="D218" s="209"/>
      <c r="E218" s="209"/>
      <c r="F218" s="199" t="s">
        <v>315</v>
      </c>
      <c r="G218" s="199"/>
      <c r="H218" s="321"/>
      <c r="I218" s="321"/>
      <c r="J218" s="321"/>
      <c r="K218" s="321"/>
      <c r="L218" s="225"/>
      <c r="M218" s="322"/>
      <c r="N218" s="322"/>
      <c r="O218" s="322"/>
      <c r="P218" s="322"/>
      <c r="Q218" s="322"/>
      <c r="R218" s="322"/>
      <c r="S218" s="322"/>
      <c r="T218" s="322"/>
      <c r="U218" s="322"/>
      <c r="V218" s="322"/>
      <c r="W218" s="322"/>
      <c r="X218" s="322"/>
      <c r="Y218" s="322"/>
      <c r="Z218" s="322"/>
      <c r="AA218" s="114"/>
    </row>
    <row r="219" spans="1:28" s="99" customFormat="1" ht="34.5" customHeight="1">
      <c r="A219" s="209" t="s">
        <v>736</v>
      </c>
      <c r="B219" s="209" t="s">
        <v>803</v>
      </c>
      <c r="C219" s="209" t="s">
        <v>848</v>
      </c>
      <c r="D219" s="209" t="s">
        <v>737</v>
      </c>
      <c r="E219" s="209" t="s">
        <v>803</v>
      </c>
      <c r="F219" s="199" t="s">
        <v>316</v>
      </c>
      <c r="G219" s="199" t="s">
        <v>317</v>
      </c>
      <c r="H219" s="321" t="s">
        <v>86</v>
      </c>
      <c r="I219" s="321" t="s">
        <v>886</v>
      </c>
      <c r="J219" s="321" t="s">
        <v>886</v>
      </c>
      <c r="K219" s="321" t="s">
        <v>318</v>
      </c>
      <c r="L219" s="225" t="s">
        <v>135</v>
      </c>
      <c r="M219" s="322"/>
      <c r="N219" s="322"/>
      <c r="O219" s="322"/>
      <c r="P219" s="322">
        <v>35.4</v>
      </c>
      <c r="Q219" s="322">
        <v>45.9</v>
      </c>
      <c r="R219" s="322">
        <v>49.1</v>
      </c>
      <c r="S219" s="322">
        <v>52.1</v>
      </c>
      <c r="T219" s="322"/>
      <c r="U219" s="322"/>
      <c r="V219" s="322"/>
      <c r="W219" s="322"/>
      <c r="X219" s="322"/>
      <c r="Y219" s="322"/>
      <c r="Z219" s="322"/>
      <c r="AA219" s="114"/>
    </row>
    <row r="220" spans="1:28" s="99" customFormat="1" ht="35.25" customHeight="1">
      <c r="A220" s="515" t="s">
        <v>736</v>
      </c>
      <c r="B220" s="515" t="s">
        <v>803</v>
      </c>
      <c r="C220" s="515" t="s">
        <v>859</v>
      </c>
      <c r="D220" s="515"/>
      <c r="E220" s="515"/>
      <c r="F220" s="529" t="s">
        <v>319</v>
      </c>
      <c r="G220" s="199" t="s">
        <v>113</v>
      </c>
      <c r="H220" s="321" t="s">
        <v>86</v>
      </c>
      <c r="I220" s="321" t="s">
        <v>886</v>
      </c>
      <c r="J220" s="321" t="s">
        <v>886</v>
      </c>
      <c r="K220" s="201" t="s">
        <v>320</v>
      </c>
      <c r="L220" s="225"/>
      <c r="M220" s="322">
        <f t="shared" ref="M220:S220" si="31">M222</f>
        <v>1128</v>
      </c>
      <c r="N220" s="322">
        <f t="shared" si="31"/>
        <v>1145.8</v>
      </c>
      <c r="O220" s="322">
        <f t="shared" si="31"/>
        <v>1214.5</v>
      </c>
      <c r="P220" s="322">
        <f t="shared" si="31"/>
        <v>1014.7</v>
      </c>
      <c r="Q220" s="323">
        <f t="shared" si="31"/>
        <v>1028.367</v>
      </c>
      <c r="R220" s="323">
        <f t="shared" si="31"/>
        <v>1008.1</v>
      </c>
      <c r="S220" s="323">
        <f t="shared" si="31"/>
        <v>891.5</v>
      </c>
      <c r="T220" s="324"/>
      <c r="U220" s="324"/>
      <c r="V220" s="324"/>
      <c r="W220" s="324"/>
      <c r="X220" s="324"/>
      <c r="Y220" s="324"/>
      <c r="Z220" s="324"/>
      <c r="AA220" s="114"/>
    </row>
    <row r="221" spans="1:28" s="99" customFormat="1" ht="21" customHeight="1">
      <c r="A221" s="516"/>
      <c r="B221" s="516"/>
      <c r="C221" s="516"/>
      <c r="D221" s="516"/>
      <c r="E221" s="516"/>
      <c r="F221" s="530"/>
      <c r="G221" s="199" t="s">
        <v>113</v>
      </c>
      <c r="H221" s="321" t="s">
        <v>114</v>
      </c>
      <c r="I221" s="321" t="s">
        <v>886</v>
      </c>
      <c r="J221" s="321" t="s">
        <v>886</v>
      </c>
      <c r="K221" s="201" t="s">
        <v>320</v>
      </c>
      <c r="L221" s="225"/>
      <c r="M221" s="322"/>
      <c r="N221" s="322"/>
      <c r="O221" s="322"/>
      <c r="P221" s="322"/>
      <c r="Q221" s="323"/>
      <c r="R221" s="323"/>
      <c r="S221" s="323"/>
      <c r="T221" s="323">
        <f t="shared" ref="T221:Z221" si="32">T223</f>
        <v>0</v>
      </c>
      <c r="U221" s="323">
        <f t="shared" si="32"/>
        <v>0</v>
      </c>
      <c r="V221" s="323">
        <f t="shared" si="32"/>
        <v>0</v>
      </c>
      <c r="W221" s="323">
        <f t="shared" si="32"/>
        <v>0</v>
      </c>
      <c r="X221" s="323">
        <f t="shared" si="32"/>
        <v>0</v>
      </c>
      <c r="Y221" s="323">
        <f t="shared" si="32"/>
        <v>0</v>
      </c>
      <c r="Z221" s="323">
        <f t="shared" si="32"/>
        <v>0</v>
      </c>
      <c r="AA221" s="114"/>
    </row>
    <row r="222" spans="1:28" s="99" customFormat="1" ht="78.75">
      <c r="A222" s="515" t="s">
        <v>736</v>
      </c>
      <c r="B222" s="515" t="s">
        <v>803</v>
      </c>
      <c r="C222" s="515" t="s">
        <v>859</v>
      </c>
      <c r="D222" s="515" t="s">
        <v>737</v>
      </c>
      <c r="E222" s="515" t="s">
        <v>737</v>
      </c>
      <c r="F222" s="529" t="s">
        <v>321</v>
      </c>
      <c r="G222" s="199" t="s">
        <v>113</v>
      </c>
      <c r="H222" s="321" t="s">
        <v>86</v>
      </c>
      <c r="I222" s="321" t="s">
        <v>886</v>
      </c>
      <c r="J222" s="321" t="s">
        <v>886</v>
      </c>
      <c r="K222" s="201" t="s">
        <v>322</v>
      </c>
      <c r="L222" s="225" t="s">
        <v>323</v>
      </c>
      <c r="M222" s="322">
        <v>1128</v>
      </c>
      <c r="N222" s="322">
        <v>1145.8</v>
      </c>
      <c r="O222" s="322">
        <v>1214.5</v>
      </c>
      <c r="P222" s="322">
        <v>1014.7</v>
      </c>
      <c r="Q222" s="322">
        <v>1028.367</v>
      </c>
      <c r="R222" s="322">
        <v>1008.1</v>
      </c>
      <c r="S222" s="322">
        <v>891.5</v>
      </c>
      <c r="T222" s="324"/>
      <c r="U222" s="324"/>
      <c r="V222" s="324"/>
      <c r="W222" s="324"/>
      <c r="X222" s="324"/>
      <c r="Y222" s="324"/>
      <c r="Z222" s="324"/>
      <c r="AA222" s="114"/>
      <c r="AB222" s="105">
        <f>U228+U229+U235+U236+U242</f>
        <v>4724.3</v>
      </c>
    </row>
    <row r="223" spans="1:28" s="99" customFormat="1" ht="78.75">
      <c r="A223" s="516"/>
      <c r="B223" s="516"/>
      <c r="C223" s="516"/>
      <c r="D223" s="516"/>
      <c r="E223" s="516"/>
      <c r="F223" s="530"/>
      <c r="G223" s="199" t="s">
        <v>113</v>
      </c>
      <c r="H223" s="321" t="s">
        <v>114</v>
      </c>
      <c r="I223" s="321" t="s">
        <v>886</v>
      </c>
      <c r="J223" s="321" t="s">
        <v>886</v>
      </c>
      <c r="K223" s="201" t="s">
        <v>322</v>
      </c>
      <c r="L223" s="225" t="s">
        <v>323</v>
      </c>
      <c r="M223" s="322"/>
      <c r="N223" s="322"/>
      <c r="O223" s="322"/>
      <c r="P223" s="322"/>
      <c r="Q223" s="322"/>
      <c r="R223" s="322"/>
      <c r="S223" s="322"/>
      <c r="T223" s="322"/>
      <c r="U223" s="322"/>
      <c r="V223" s="322"/>
      <c r="W223" s="322"/>
      <c r="X223" s="322"/>
      <c r="Y223" s="322"/>
      <c r="Z223" s="322"/>
      <c r="AA223" s="114"/>
    </row>
    <row r="224" spans="1:28" s="99" customFormat="1" ht="78.75">
      <c r="A224" s="209" t="s">
        <v>736</v>
      </c>
      <c r="B224" s="209" t="s">
        <v>803</v>
      </c>
      <c r="C224" s="209" t="s">
        <v>859</v>
      </c>
      <c r="D224" s="209" t="s">
        <v>737</v>
      </c>
      <c r="E224" s="209" t="s">
        <v>757</v>
      </c>
      <c r="F224" s="199" t="s">
        <v>9</v>
      </c>
      <c r="G224" s="199" t="s">
        <v>113</v>
      </c>
      <c r="H224" s="321" t="s">
        <v>86</v>
      </c>
      <c r="I224" s="321" t="s">
        <v>886</v>
      </c>
      <c r="J224" s="321" t="s">
        <v>886</v>
      </c>
      <c r="K224" s="201" t="s">
        <v>324</v>
      </c>
      <c r="L224" s="225" t="s">
        <v>129</v>
      </c>
      <c r="M224" s="322"/>
      <c r="N224" s="322"/>
      <c r="O224" s="322"/>
      <c r="P224" s="322">
        <v>3.8</v>
      </c>
      <c r="Q224" s="322"/>
      <c r="R224" s="322"/>
      <c r="S224" s="322"/>
      <c r="T224" s="322"/>
      <c r="U224" s="322"/>
      <c r="V224" s="322"/>
      <c r="W224" s="322"/>
      <c r="X224" s="322"/>
      <c r="Y224" s="322"/>
      <c r="Z224" s="322"/>
      <c r="AA224" s="114">
        <v>2787.8</v>
      </c>
    </row>
    <row r="225" spans="1:27" s="99" customFormat="1" ht="78.75">
      <c r="A225" s="209" t="s">
        <v>736</v>
      </c>
      <c r="B225" s="209" t="s">
        <v>803</v>
      </c>
      <c r="C225" s="209" t="s">
        <v>865</v>
      </c>
      <c r="D225" s="209" t="s">
        <v>737</v>
      </c>
      <c r="E225" s="209" t="s">
        <v>737</v>
      </c>
      <c r="F225" s="199" t="s">
        <v>325</v>
      </c>
      <c r="G225" s="199" t="s">
        <v>113</v>
      </c>
      <c r="H225" s="321" t="s">
        <v>86</v>
      </c>
      <c r="I225" s="321" t="s">
        <v>886</v>
      </c>
      <c r="J225" s="321" t="s">
        <v>886</v>
      </c>
      <c r="K225" s="201" t="s">
        <v>326</v>
      </c>
      <c r="L225" s="225" t="s">
        <v>129</v>
      </c>
      <c r="M225" s="322"/>
      <c r="N225" s="322"/>
      <c r="O225" s="322"/>
      <c r="P225" s="322">
        <v>28</v>
      </c>
      <c r="Q225" s="322"/>
      <c r="R225" s="322"/>
      <c r="S225" s="322"/>
      <c r="T225" s="322"/>
      <c r="U225" s="322"/>
      <c r="V225" s="322"/>
      <c r="W225" s="322"/>
      <c r="X225" s="322"/>
      <c r="Y225" s="322"/>
      <c r="Z225" s="322"/>
      <c r="AA225" s="119">
        <f>AA224-T224</f>
        <v>2787.8</v>
      </c>
    </row>
    <row r="226" spans="1:27" s="99" customFormat="1" ht="33.75">
      <c r="A226" s="515" t="s">
        <v>736</v>
      </c>
      <c r="B226" s="515" t="s">
        <v>803</v>
      </c>
      <c r="C226" s="515" t="s">
        <v>904</v>
      </c>
      <c r="D226" s="515" t="s">
        <v>933</v>
      </c>
      <c r="E226" s="515" t="s">
        <v>519</v>
      </c>
      <c r="F226" s="601" t="s">
        <v>630</v>
      </c>
      <c r="G226" s="199" t="s">
        <v>307</v>
      </c>
      <c r="H226" s="321" t="s">
        <v>86</v>
      </c>
      <c r="I226" s="321" t="s">
        <v>886</v>
      </c>
      <c r="J226" s="321" t="s">
        <v>886</v>
      </c>
      <c r="K226" s="201" t="s">
        <v>327</v>
      </c>
      <c r="L226" s="225" t="s">
        <v>135</v>
      </c>
      <c r="M226" s="322"/>
      <c r="N226" s="322"/>
      <c r="O226" s="322"/>
      <c r="P226" s="322"/>
      <c r="Q226" s="322"/>
      <c r="R226" s="322">
        <v>800.1</v>
      </c>
      <c r="S226" s="322">
        <v>632.4</v>
      </c>
      <c r="T226" s="322"/>
      <c r="U226" s="322"/>
      <c r="V226" s="322"/>
      <c r="W226" s="322"/>
      <c r="X226" s="322"/>
      <c r="Y226" s="322"/>
      <c r="Z226" s="322"/>
      <c r="AA226" s="114"/>
    </row>
    <row r="227" spans="1:27" s="99" customFormat="1" ht="33.75">
      <c r="A227" s="516"/>
      <c r="B227" s="516"/>
      <c r="C227" s="516"/>
      <c r="D227" s="516"/>
      <c r="E227" s="516"/>
      <c r="F227" s="602"/>
      <c r="G227" s="199" t="s">
        <v>307</v>
      </c>
      <c r="H227" s="321" t="s">
        <v>84</v>
      </c>
      <c r="I227" s="321" t="s">
        <v>886</v>
      </c>
      <c r="J227" s="321" t="s">
        <v>886</v>
      </c>
      <c r="K227" s="201" t="s">
        <v>327</v>
      </c>
      <c r="L227" s="225" t="s">
        <v>135</v>
      </c>
      <c r="M227" s="322"/>
      <c r="N227" s="322"/>
      <c r="O227" s="322"/>
      <c r="P227" s="322"/>
      <c r="Q227" s="322"/>
      <c r="R227" s="322"/>
      <c r="S227" s="322"/>
      <c r="T227" s="322">
        <v>777.3</v>
      </c>
      <c r="U227" s="322"/>
      <c r="V227" s="322"/>
      <c r="W227" s="322"/>
      <c r="X227" s="322"/>
      <c r="Y227" s="322"/>
      <c r="Z227" s="322"/>
      <c r="AA227" s="114"/>
    </row>
    <row r="228" spans="1:27" s="99" customFormat="1" ht="78.75">
      <c r="A228" s="515" t="s">
        <v>736</v>
      </c>
      <c r="B228" s="515" t="s">
        <v>803</v>
      </c>
      <c r="C228" s="515" t="s">
        <v>904</v>
      </c>
      <c r="D228" s="515" t="s">
        <v>933</v>
      </c>
      <c r="E228" s="515" t="s">
        <v>519</v>
      </c>
      <c r="F228" s="560" t="s">
        <v>630</v>
      </c>
      <c r="G228" s="226" t="s">
        <v>113</v>
      </c>
      <c r="H228" s="321" t="s">
        <v>86</v>
      </c>
      <c r="I228" s="321" t="s">
        <v>886</v>
      </c>
      <c r="J228" s="321" t="s">
        <v>886</v>
      </c>
      <c r="K228" s="201" t="s">
        <v>328</v>
      </c>
      <c r="L228" s="225" t="s">
        <v>135</v>
      </c>
      <c r="M228" s="322"/>
      <c r="N228" s="322"/>
      <c r="O228" s="322"/>
      <c r="P228" s="322"/>
      <c r="Q228" s="322"/>
      <c r="R228" s="322"/>
      <c r="S228" s="322">
        <v>2</v>
      </c>
      <c r="T228" s="322"/>
      <c r="U228" s="322"/>
      <c r="V228" s="322"/>
      <c r="W228" s="322"/>
      <c r="X228" s="322"/>
      <c r="Y228" s="322"/>
      <c r="Z228" s="322"/>
      <c r="AA228" s="114"/>
    </row>
    <row r="229" spans="1:27" s="99" customFormat="1" ht="33.75">
      <c r="A229" s="516"/>
      <c r="B229" s="516"/>
      <c r="C229" s="516"/>
      <c r="D229" s="516"/>
      <c r="E229" s="516"/>
      <c r="F229" s="561"/>
      <c r="G229" s="199" t="s">
        <v>307</v>
      </c>
      <c r="H229" s="321" t="s">
        <v>84</v>
      </c>
      <c r="I229" s="321" t="s">
        <v>886</v>
      </c>
      <c r="J229" s="321" t="s">
        <v>886</v>
      </c>
      <c r="K229" s="201" t="s">
        <v>328</v>
      </c>
      <c r="L229" s="225" t="s">
        <v>135</v>
      </c>
      <c r="M229" s="322"/>
      <c r="N229" s="322"/>
      <c r="O229" s="322"/>
      <c r="P229" s="322"/>
      <c r="Q229" s="322"/>
      <c r="R229" s="322"/>
      <c r="S229" s="322"/>
      <c r="T229" s="322">
        <v>21.5</v>
      </c>
      <c r="U229" s="322">
        <v>20</v>
      </c>
      <c r="V229" s="322"/>
      <c r="W229" s="322"/>
      <c r="X229" s="322"/>
      <c r="Y229" s="322"/>
      <c r="Z229" s="322"/>
      <c r="AA229" s="114"/>
    </row>
    <row r="230" spans="1:27" s="99" customFormat="1" ht="53.25" customHeight="1">
      <c r="A230" s="209" t="s">
        <v>736</v>
      </c>
      <c r="B230" s="209" t="s">
        <v>803</v>
      </c>
      <c r="C230" s="209" t="s">
        <v>904</v>
      </c>
      <c r="D230" s="209" t="s">
        <v>933</v>
      </c>
      <c r="E230" s="209" t="s">
        <v>519</v>
      </c>
      <c r="F230" s="199" t="s">
        <v>630</v>
      </c>
      <c r="G230" s="199" t="s">
        <v>307</v>
      </c>
      <c r="H230" s="321" t="s">
        <v>86</v>
      </c>
      <c r="I230" s="321" t="s">
        <v>886</v>
      </c>
      <c r="J230" s="321" t="s">
        <v>886</v>
      </c>
      <c r="K230" s="201" t="s">
        <v>329</v>
      </c>
      <c r="L230" s="225" t="s">
        <v>135</v>
      </c>
      <c r="M230" s="322"/>
      <c r="N230" s="322"/>
      <c r="O230" s="322"/>
      <c r="P230" s="322"/>
      <c r="Q230" s="322"/>
      <c r="R230" s="322">
        <v>3</v>
      </c>
      <c r="S230" s="322"/>
      <c r="T230" s="322"/>
      <c r="U230" s="322"/>
      <c r="V230" s="322"/>
      <c r="W230" s="322"/>
      <c r="X230" s="322"/>
      <c r="Y230" s="322"/>
      <c r="Z230" s="322"/>
      <c r="AA230" s="114" t="s">
        <v>341</v>
      </c>
    </row>
    <row r="231" spans="1:27" s="99" customFormat="1" ht="28.5" customHeight="1">
      <c r="A231" s="209" t="s">
        <v>736</v>
      </c>
      <c r="B231" s="209" t="s">
        <v>803</v>
      </c>
      <c r="C231" s="209" t="s">
        <v>904</v>
      </c>
      <c r="D231" s="209" t="s">
        <v>933</v>
      </c>
      <c r="E231" s="209" t="s">
        <v>519</v>
      </c>
      <c r="F231" s="199" t="s">
        <v>630</v>
      </c>
      <c r="G231" s="199" t="s">
        <v>307</v>
      </c>
      <c r="H231" s="321" t="s">
        <v>86</v>
      </c>
      <c r="I231" s="321" t="s">
        <v>886</v>
      </c>
      <c r="J231" s="321" t="s">
        <v>886</v>
      </c>
      <c r="K231" s="201" t="s">
        <v>330</v>
      </c>
      <c r="L231" s="225" t="s">
        <v>135</v>
      </c>
      <c r="M231" s="322"/>
      <c r="N231" s="322"/>
      <c r="O231" s="322"/>
      <c r="P231" s="322"/>
      <c r="Q231" s="322"/>
      <c r="R231" s="322">
        <v>5</v>
      </c>
      <c r="S231" s="322"/>
      <c r="T231" s="322"/>
      <c r="U231" s="322"/>
      <c r="V231" s="322"/>
      <c r="W231" s="322"/>
      <c r="X231" s="322"/>
      <c r="Y231" s="322"/>
      <c r="Z231" s="322"/>
      <c r="AA231" s="114"/>
    </row>
    <row r="232" spans="1:27" s="99" customFormat="1" ht="78.75">
      <c r="A232" s="515" t="s">
        <v>736</v>
      </c>
      <c r="B232" s="515" t="s">
        <v>803</v>
      </c>
      <c r="C232" s="515" t="s">
        <v>904</v>
      </c>
      <c r="D232" s="515"/>
      <c r="E232" s="515"/>
      <c r="F232" s="560" t="s">
        <v>630</v>
      </c>
      <c r="G232" s="226" t="s">
        <v>113</v>
      </c>
      <c r="H232" s="321" t="s">
        <v>86</v>
      </c>
      <c r="I232" s="321" t="s">
        <v>886</v>
      </c>
      <c r="J232" s="321" t="s">
        <v>886</v>
      </c>
      <c r="K232" s="201" t="s">
        <v>331</v>
      </c>
      <c r="L232" s="225" t="s">
        <v>135</v>
      </c>
      <c r="M232" s="322"/>
      <c r="N232" s="322"/>
      <c r="O232" s="322"/>
      <c r="P232" s="322"/>
      <c r="Q232" s="322"/>
      <c r="R232" s="322">
        <v>145.9</v>
      </c>
      <c r="S232" s="322">
        <v>111.6</v>
      </c>
      <c r="T232" s="322"/>
      <c r="U232" s="322"/>
      <c r="V232" s="322"/>
      <c r="W232" s="322"/>
      <c r="X232" s="322"/>
      <c r="Y232" s="322"/>
      <c r="Z232" s="322"/>
      <c r="AA232" s="114"/>
    </row>
    <row r="233" spans="1:27" s="99" customFormat="1" ht="22.5">
      <c r="A233" s="528"/>
      <c r="B233" s="528"/>
      <c r="C233" s="528"/>
      <c r="D233" s="528"/>
      <c r="E233" s="528"/>
      <c r="F233" s="579"/>
      <c r="G233" s="199" t="s">
        <v>309</v>
      </c>
      <c r="H233" s="321" t="s">
        <v>67</v>
      </c>
      <c r="I233" s="321" t="s">
        <v>886</v>
      </c>
      <c r="J233" s="321" t="s">
        <v>886</v>
      </c>
      <c r="K233" s="201" t="s">
        <v>331</v>
      </c>
      <c r="L233" s="225" t="s">
        <v>224</v>
      </c>
      <c r="M233" s="322"/>
      <c r="N233" s="322"/>
      <c r="O233" s="322"/>
      <c r="P233" s="322"/>
      <c r="Q233" s="322"/>
      <c r="R233" s="322"/>
      <c r="S233" s="322"/>
      <c r="T233" s="322"/>
      <c r="U233" s="322">
        <v>1474.8</v>
      </c>
      <c r="V233" s="322"/>
      <c r="W233" s="322"/>
      <c r="X233" s="322"/>
      <c r="Y233" s="322"/>
      <c r="Z233" s="322"/>
      <c r="AA233" s="114"/>
    </row>
    <row r="234" spans="1:27" s="99" customFormat="1" ht="33.75">
      <c r="A234" s="516"/>
      <c r="B234" s="516"/>
      <c r="C234" s="516"/>
      <c r="D234" s="516"/>
      <c r="E234" s="516"/>
      <c r="F234" s="561"/>
      <c r="G234" s="199" t="s">
        <v>307</v>
      </c>
      <c r="H234" s="321" t="s">
        <v>84</v>
      </c>
      <c r="I234" s="321" t="s">
        <v>886</v>
      </c>
      <c r="J234" s="321" t="s">
        <v>886</v>
      </c>
      <c r="K234" s="201" t="s">
        <v>331</v>
      </c>
      <c r="L234" s="225" t="s">
        <v>135</v>
      </c>
      <c r="M234" s="322"/>
      <c r="N234" s="322"/>
      <c r="O234" s="322"/>
      <c r="P234" s="322"/>
      <c r="Q234" s="322"/>
      <c r="R234" s="322"/>
      <c r="S234" s="322"/>
      <c r="T234" s="322">
        <v>240.9</v>
      </c>
      <c r="U234" s="322">
        <v>693</v>
      </c>
      <c r="V234" s="322"/>
      <c r="W234" s="322"/>
      <c r="X234" s="322"/>
      <c r="Y234" s="322"/>
      <c r="Z234" s="322"/>
      <c r="AA234" s="114"/>
    </row>
    <row r="235" spans="1:27" s="99" customFormat="1" ht="11.25">
      <c r="A235" s="595" t="s">
        <v>736</v>
      </c>
      <c r="B235" s="595" t="s">
        <v>810</v>
      </c>
      <c r="C235" s="603"/>
      <c r="D235" s="603"/>
      <c r="E235" s="603"/>
      <c r="F235" s="598" t="s">
        <v>332</v>
      </c>
      <c r="G235" s="260" t="s">
        <v>109</v>
      </c>
      <c r="H235" s="188" t="s">
        <v>63</v>
      </c>
      <c r="I235" s="188" t="s">
        <v>886</v>
      </c>
      <c r="J235" s="188" t="s">
        <v>886</v>
      </c>
      <c r="K235" s="188" t="s">
        <v>333</v>
      </c>
      <c r="L235" s="379"/>
      <c r="M235" s="374">
        <f t="shared" ref="M235:S235" si="33">M237</f>
        <v>200</v>
      </c>
      <c r="N235" s="374">
        <f t="shared" si="33"/>
        <v>2857.3999999999996</v>
      </c>
      <c r="O235" s="374">
        <f t="shared" si="33"/>
        <v>2510.5</v>
      </c>
      <c r="P235" s="374">
        <f t="shared" si="33"/>
        <v>3304.9</v>
      </c>
      <c r="Q235" s="374">
        <f t="shared" si="33"/>
        <v>3278.9540000000002</v>
      </c>
      <c r="R235" s="374">
        <f t="shared" si="33"/>
        <v>6424.2119999999995</v>
      </c>
      <c r="S235" s="374">
        <f t="shared" si="33"/>
        <v>3398.2759999999998</v>
      </c>
      <c r="T235" s="324"/>
      <c r="U235" s="324"/>
      <c r="V235" s="324"/>
      <c r="W235" s="324"/>
      <c r="X235" s="324"/>
      <c r="Y235" s="324"/>
      <c r="Z235" s="324"/>
      <c r="AA235" s="114"/>
    </row>
    <row r="236" spans="1:27" s="99" customFormat="1" ht="11.25">
      <c r="A236" s="597"/>
      <c r="B236" s="597"/>
      <c r="C236" s="604"/>
      <c r="D236" s="604"/>
      <c r="E236" s="604"/>
      <c r="F236" s="600"/>
      <c r="G236" s="260"/>
      <c r="H236" s="188" t="s">
        <v>334</v>
      </c>
      <c r="I236" s="188" t="s">
        <v>886</v>
      </c>
      <c r="J236" s="188" t="s">
        <v>886</v>
      </c>
      <c r="K236" s="188" t="s">
        <v>333</v>
      </c>
      <c r="L236" s="379"/>
      <c r="M236" s="374"/>
      <c r="N236" s="374"/>
      <c r="O236" s="374"/>
      <c r="P236" s="374"/>
      <c r="Q236" s="374"/>
      <c r="R236" s="374"/>
      <c r="S236" s="374"/>
      <c r="T236" s="374">
        <f t="shared" ref="T236:Z236" si="34">T238+T239</f>
        <v>3024.8999999999996</v>
      </c>
      <c r="U236" s="374">
        <f t="shared" si="34"/>
        <v>2738.7000000000003</v>
      </c>
      <c r="V236" s="374">
        <f t="shared" si="34"/>
        <v>2130</v>
      </c>
      <c r="W236" s="374">
        <f t="shared" si="34"/>
        <v>134.9</v>
      </c>
      <c r="X236" s="374">
        <f t="shared" si="34"/>
        <v>134.9</v>
      </c>
      <c r="Y236" s="374">
        <f t="shared" si="34"/>
        <v>142.0497</v>
      </c>
      <c r="Z236" s="374">
        <f t="shared" si="34"/>
        <v>149.57833409999998</v>
      </c>
      <c r="AA236" s="114"/>
    </row>
    <row r="237" spans="1:27" s="99" customFormat="1" ht="22.5">
      <c r="A237" s="515" t="s">
        <v>736</v>
      </c>
      <c r="B237" s="515" t="s">
        <v>810</v>
      </c>
      <c r="C237" s="515" t="s">
        <v>736</v>
      </c>
      <c r="D237" s="515"/>
      <c r="E237" s="515"/>
      <c r="F237" s="557" t="s">
        <v>634</v>
      </c>
      <c r="G237" s="199" t="s">
        <v>309</v>
      </c>
      <c r="H237" s="321">
        <v>458</v>
      </c>
      <c r="I237" s="321" t="s">
        <v>886</v>
      </c>
      <c r="J237" s="321" t="s">
        <v>886</v>
      </c>
      <c r="K237" s="321" t="s">
        <v>335</v>
      </c>
      <c r="L237" s="225"/>
      <c r="M237" s="323">
        <f>M240+M254+M252</f>
        <v>200</v>
      </c>
      <c r="N237" s="323">
        <f t="shared" ref="N237:S237" si="35">SUM(N240:N257)</f>
        <v>2857.3999999999996</v>
      </c>
      <c r="O237" s="323">
        <f t="shared" si="35"/>
        <v>2510.5</v>
      </c>
      <c r="P237" s="323">
        <f t="shared" si="35"/>
        <v>3304.9</v>
      </c>
      <c r="Q237" s="323">
        <f t="shared" si="35"/>
        <v>3278.9540000000002</v>
      </c>
      <c r="R237" s="323">
        <f t="shared" si="35"/>
        <v>6424.2119999999995</v>
      </c>
      <c r="S237" s="323">
        <f t="shared" si="35"/>
        <v>3398.2759999999998</v>
      </c>
      <c r="T237" s="324"/>
      <c r="U237" s="324"/>
      <c r="V237" s="324"/>
      <c r="W237" s="324"/>
      <c r="X237" s="324"/>
      <c r="Y237" s="324"/>
      <c r="Z237" s="324"/>
      <c r="AA237" s="114"/>
    </row>
    <row r="238" spans="1:27" s="99" customFormat="1" ht="22.5">
      <c r="A238" s="528"/>
      <c r="B238" s="528"/>
      <c r="C238" s="528"/>
      <c r="D238" s="528"/>
      <c r="E238" s="528"/>
      <c r="F238" s="558"/>
      <c r="G238" s="199" t="s">
        <v>844</v>
      </c>
      <c r="H238" s="321" t="s">
        <v>67</v>
      </c>
      <c r="I238" s="321" t="s">
        <v>886</v>
      </c>
      <c r="J238" s="321" t="s">
        <v>886</v>
      </c>
      <c r="K238" s="321" t="s">
        <v>335</v>
      </c>
      <c r="L238" s="225"/>
      <c r="M238" s="323"/>
      <c r="N238" s="323"/>
      <c r="O238" s="323"/>
      <c r="P238" s="323"/>
      <c r="Q238" s="323"/>
      <c r="R238" s="323"/>
      <c r="S238" s="323"/>
      <c r="T238" s="323">
        <f>T241+T245+T248+T255</f>
        <v>2787.7999999999997</v>
      </c>
      <c r="U238" s="323">
        <f>U240+U242+U247+U249+U256</f>
        <v>2601.4</v>
      </c>
      <c r="V238" s="323">
        <f>V241+V245+V248+V255+V242+V249+V256</f>
        <v>2130</v>
      </c>
      <c r="W238" s="323">
        <f>W241+W245+W248+W255+W242+W249+W256</f>
        <v>134.9</v>
      </c>
      <c r="X238" s="323">
        <f>X241+X245+X248+X255+X242+X249+X256</f>
        <v>134.9</v>
      </c>
      <c r="Y238" s="323">
        <f>Y241+Y245+Y248+Y255+Y242+Y249+Y256</f>
        <v>142.0497</v>
      </c>
      <c r="Z238" s="323">
        <f>Z241+Z245+Z248+Z255+Z242+Z249+Z256</f>
        <v>149.57833409999998</v>
      </c>
      <c r="AA238" s="114"/>
    </row>
    <row r="239" spans="1:27" s="99" customFormat="1" ht="33.75">
      <c r="A239" s="516"/>
      <c r="B239" s="516"/>
      <c r="C239" s="516"/>
      <c r="D239" s="516"/>
      <c r="E239" s="516"/>
      <c r="F239" s="559"/>
      <c r="G239" s="199" t="s">
        <v>307</v>
      </c>
      <c r="H239" s="321" t="s">
        <v>116</v>
      </c>
      <c r="I239" s="321" t="s">
        <v>886</v>
      </c>
      <c r="J239" s="321" t="s">
        <v>886</v>
      </c>
      <c r="K239" s="321" t="s">
        <v>335</v>
      </c>
      <c r="L239" s="225"/>
      <c r="M239" s="323"/>
      <c r="N239" s="323"/>
      <c r="O239" s="323"/>
      <c r="P239" s="323"/>
      <c r="Q239" s="323"/>
      <c r="R239" s="323"/>
      <c r="S239" s="323"/>
      <c r="T239" s="323">
        <f>T243+T250</f>
        <v>237.1</v>
      </c>
      <c r="U239" s="323">
        <f t="shared" ref="U239:Z239" si="36">U243+U250+U251</f>
        <v>137.30000000000001</v>
      </c>
      <c r="V239" s="323">
        <f t="shared" si="36"/>
        <v>0</v>
      </c>
      <c r="W239" s="323">
        <f t="shared" si="36"/>
        <v>0</v>
      </c>
      <c r="X239" s="323">
        <f t="shared" si="36"/>
        <v>0</v>
      </c>
      <c r="Y239" s="323">
        <f t="shared" si="36"/>
        <v>0</v>
      </c>
      <c r="Z239" s="323">
        <f t="shared" si="36"/>
        <v>0</v>
      </c>
      <c r="AA239" s="114"/>
    </row>
    <row r="240" spans="1:27" s="99" customFormat="1" ht="33.75">
      <c r="A240" s="515" t="s">
        <v>736</v>
      </c>
      <c r="B240" s="515" t="s">
        <v>810</v>
      </c>
      <c r="C240" s="515" t="s">
        <v>736</v>
      </c>
      <c r="D240" s="515" t="s">
        <v>737</v>
      </c>
      <c r="E240" s="515">
        <v>1</v>
      </c>
      <c r="F240" s="557" t="s">
        <v>635</v>
      </c>
      <c r="G240" s="199" t="s">
        <v>309</v>
      </c>
      <c r="H240" s="321">
        <v>458</v>
      </c>
      <c r="I240" s="321" t="s">
        <v>886</v>
      </c>
      <c r="J240" s="321" t="s">
        <v>886</v>
      </c>
      <c r="K240" s="201" t="s">
        <v>336</v>
      </c>
      <c r="L240" s="225" t="s">
        <v>337</v>
      </c>
      <c r="M240" s="322">
        <f>200-150</f>
        <v>50</v>
      </c>
      <c r="N240" s="322">
        <v>2367.6999999999998</v>
      </c>
      <c r="O240" s="322">
        <v>2232.1</v>
      </c>
      <c r="P240" s="322">
        <v>2943.3</v>
      </c>
      <c r="Q240" s="322">
        <v>3043.2</v>
      </c>
      <c r="R240" s="322">
        <v>2332.2429999999999</v>
      </c>
      <c r="S240" s="322">
        <v>2841.1</v>
      </c>
      <c r="T240" s="324"/>
      <c r="U240" s="324">
        <v>493.6</v>
      </c>
      <c r="V240" s="324"/>
      <c r="W240" s="324"/>
      <c r="X240" s="324"/>
      <c r="Y240" s="324"/>
      <c r="Z240" s="324"/>
      <c r="AA240" s="114" t="s">
        <v>347</v>
      </c>
    </row>
    <row r="241" spans="1:29" s="99" customFormat="1" ht="33.75">
      <c r="A241" s="528"/>
      <c r="B241" s="528"/>
      <c r="C241" s="528"/>
      <c r="D241" s="528"/>
      <c r="E241" s="528"/>
      <c r="F241" s="558"/>
      <c r="G241" s="199" t="s">
        <v>844</v>
      </c>
      <c r="H241" s="321" t="s">
        <v>67</v>
      </c>
      <c r="I241" s="321" t="s">
        <v>886</v>
      </c>
      <c r="J241" s="321" t="s">
        <v>886</v>
      </c>
      <c r="K241" s="201" t="s">
        <v>336</v>
      </c>
      <c r="L241" s="225" t="s">
        <v>337</v>
      </c>
      <c r="M241" s="322"/>
      <c r="N241" s="322"/>
      <c r="O241" s="322"/>
      <c r="P241" s="322"/>
      <c r="Q241" s="322"/>
      <c r="R241" s="322"/>
      <c r="S241" s="322"/>
      <c r="T241" s="322">
        <v>2537.6</v>
      </c>
      <c r="U241" s="322"/>
      <c r="V241" s="322"/>
      <c r="W241" s="322"/>
      <c r="X241" s="322"/>
      <c r="Y241" s="322"/>
      <c r="Z241" s="322"/>
      <c r="AA241" s="114"/>
    </row>
    <row r="242" spans="1:29" s="99" customFormat="1" ht="33.75">
      <c r="A242" s="528"/>
      <c r="B242" s="528"/>
      <c r="C242" s="528"/>
      <c r="D242" s="528"/>
      <c r="E242" s="528"/>
      <c r="F242" s="558"/>
      <c r="G242" s="199" t="s">
        <v>844</v>
      </c>
      <c r="H242" s="321" t="s">
        <v>67</v>
      </c>
      <c r="I242" s="321" t="s">
        <v>886</v>
      </c>
      <c r="J242" s="321" t="s">
        <v>904</v>
      </c>
      <c r="K242" s="201" t="s">
        <v>336</v>
      </c>
      <c r="L242" s="225" t="s">
        <v>337</v>
      </c>
      <c r="M242" s="322"/>
      <c r="N242" s="322"/>
      <c r="O242" s="322"/>
      <c r="P242" s="322"/>
      <c r="Q242" s="322"/>
      <c r="R242" s="322"/>
      <c r="S242" s="322"/>
      <c r="T242" s="322"/>
      <c r="U242" s="322">
        <v>1965.6</v>
      </c>
      <c r="V242" s="322">
        <v>1995.1</v>
      </c>
      <c r="W242" s="322"/>
      <c r="X242" s="322"/>
      <c r="Y242" s="322"/>
      <c r="Z242" s="322"/>
      <c r="AA242" s="114"/>
    </row>
    <row r="243" spans="1:29" s="99" customFormat="1" ht="33.75">
      <c r="A243" s="516"/>
      <c r="B243" s="516"/>
      <c r="C243" s="516"/>
      <c r="D243" s="516"/>
      <c r="E243" s="516"/>
      <c r="F243" s="559"/>
      <c r="G243" s="199" t="s">
        <v>307</v>
      </c>
      <c r="H243" s="321" t="s">
        <v>84</v>
      </c>
      <c r="I243" s="321" t="s">
        <v>886</v>
      </c>
      <c r="J243" s="321" t="s">
        <v>886</v>
      </c>
      <c r="K243" s="201" t="s">
        <v>336</v>
      </c>
      <c r="L243" s="225" t="s">
        <v>337</v>
      </c>
      <c r="M243" s="322"/>
      <c r="N243" s="322"/>
      <c r="O243" s="322"/>
      <c r="P243" s="322"/>
      <c r="Q243" s="322"/>
      <c r="R243" s="322"/>
      <c r="S243" s="322"/>
      <c r="T243" s="322">
        <v>228.1</v>
      </c>
      <c r="U243" s="322">
        <v>132.30000000000001</v>
      </c>
      <c r="V243" s="322"/>
      <c r="W243" s="322"/>
      <c r="X243" s="322"/>
      <c r="Y243" s="322"/>
      <c r="Z243" s="322"/>
      <c r="AA243" s="114"/>
    </row>
    <row r="244" spans="1:29" s="99" customFormat="1" ht="11.25" customHeight="1">
      <c r="A244" s="515" t="s">
        <v>736</v>
      </c>
      <c r="B244" s="515" t="s">
        <v>810</v>
      </c>
      <c r="C244" s="515" t="s">
        <v>736</v>
      </c>
      <c r="D244" s="515" t="s">
        <v>737</v>
      </c>
      <c r="E244" s="515">
        <v>1</v>
      </c>
      <c r="F244" s="529" t="s">
        <v>338</v>
      </c>
      <c r="G244" s="199" t="s">
        <v>309</v>
      </c>
      <c r="H244" s="321">
        <v>458</v>
      </c>
      <c r="I244" s="321" t="s">
        <v>886</v>
      </c>
      <c r="J244" s="321" t="s">
        <v>886</v>
      </c>
      <c r="K244" s="201" t="s">
        <v>339</v>
      </c>
      <c r="L244" s="225" t="s">
        <v>340</v>
      </c>
      <c r="M244" s="322"/>
      <c r="N244" s="322"/>
      <c r="O244" s="322"/>
      <c r="P244" s="322"/>
      <c r="Q244" s="322"/>
      <c r="R244" s="322">
        <v>3946.7779999999998</v>
      </c>
      <c r="S244" s="322">
        <v>395</v>
      </c>
      <c r="T244" s="324"/>
      <c r="U244" s="324"/>
      <c r="V244" s="324"/>
      <c r="W244" s="324"/>
      <c r="X244" s="324"/>
      <c r="Y244" s="324"/>
      <c r="Z244" s="324"/>
      <c r="AA244" s="114"/>
    </row>
    <row r="245" spans="1:29" s="99" customFormat="1" ht="11.25" customHeight="1">
      <c r="A245" s="516"/>
      <c r="B245" s="516"/>
      <c r="C245" s="516"/>
      <c r="D245" s="516"/>
      <c r="E245" s="516"/>
      <c r="F245" s="530"/>
      <c r="G245" s="199" t="s">
        <v>844</v>
      </c>
      <c r="H245" s="321" t="s">
        <v>67</v>
      </c>
      <c r="I245" s="321" t="s">
        <v>886</v>
      </c>
      <c r="J245" s="321" t="s">
        <v>886</v>
      </c>
      <c r="K245" s="201" t="s">
        <v>339</v>
      </c>
      <c r="L245" s="225" t="s">
        <v>340</v>
      </c>
      <c r="M245" s="322"/>
      <c r="N245" s="322"/>
      <c r="O245" s="322"/>
      <c r="P245" s="322"/>
      <c r="Q245" s="322"/>
      <c r="R245" s="322"/>
      <c r="S245" s="322"/>
      <c r="T245" s="322">
        <v>116.7</v>
      </c>
      <c r="U245" s="322"/>
      <c r="V245" s="322"/>
      <c r="W245" s="322"/>
      <c r="X245" s="322"/>
      <c r="Y245" s="322"/>
      <c r="Z245" s="322"/>
      <c r="AA245" s="114"/>
      <c r="AB245" s="105" t="e">
        <f>'[3]6   (2)'!T66-'5 '!T245</f>
        <v>#REF!</v>
      </c>
      <c r="AC245" s="105">
        <f>U253+U255+U262+U269+U271+U273+U275+U280+U282+U283+U286+U290+U297+U301+U303</f>
        <v>3680.6000000000004</v>
      </c>
    </row>
    <row r="246" spans="1:29" s="99" customFormat="1" ht="22.5">
      <c r="A246" s="209" t="s">
        <v>736</v>
      </c>
      <c r="B246" s="209" t="s">
        <v>810</v>
      </c>
      <c r="C246" s="209" t="s">
        <v>736</v>
      </c>
      <c r="D246" s="209" t="s">
        <v>737</v>
      </c>
      <c r="E246" s="209" t="s">
        <v>757</v>
      </c>
      <c r="F246" s="199" t="s">
        <v>635</v>
      </c>
      <c r="G246" s="199" t="s">
        <v>309</v>
      </c>
      <c r="H246" s="321">
        <v>458</v>
      </c>
      <c r="I246" s="321" t="s">
        <v>886</v>
      </c>
      <c r="J246" s="321" t="s">
        <v>886</v>
      </c>
      <c r="K246" s="201" t="s">
        <v>342</v>
      </c>
      <c r="L246" s="225" t="s">
        <v>176</v>
      </c>
      <c r="M246" s="322"/>
      <c r="N246" s="322"/>
      <c r="O246" s="322">
        <v>23.5</v>
      </c>
      <c r="P246" s="322">
        <v>266.89999999999998</v>
      </c>
      <c r="Q246" s="322">
        <v>108.744</v>
      </c>
      <c r="R246" s="322">
        <v>0</v>
      </c>
      <c r="S246" s="322"/>
      <c r="T246" s="322"/>
      <c r="U246" s="322"/>
      <c r="V246" s="322"/>
      <c r="W246" s="322"/>
      <c r="X246" s="322"/>
      <c r="Y246" s="322"/>
      <c r="Z246" s="322"/>
      <c r="AA246" s="114"/>
    </row>
    <row r="247" spans="1:29" s="99" customFormat="1" ht="22.5">
      <c r="A247" s="515" t="s">
        <v>736</v>
      </c>
      <c r="B247" s="515" t="s">
        <v>810</v>
      </c>
      <c r="C247" s="515" t="s">
        <v>736</v>
      </c>
      <c r="D247" s="515" t="s">
        <v>737</v>
      </c>
      <c r="E247" s="515" t="s">
        <v>780</v>
      </c>
      <c r="F247" s="557" t="s">
        <v>635</v>
      </c>
      <c r="G247" s="199" t="s">
        <v>309</v>
      </c>
      <c r="H247" s="321">
        <v>458</v>
      </c>
      <c r="I247" s="321" t="s">
        <v>886</v>
      </c>
      <c r="J247" s="321" t="s">
        <v>886</v>
      </c>
      <c r="K247" s="201" t="s">
        <v>343</v>
      </c>
      <c r="L247" s="225" t="s">
        <v>176</v>
      </c>
      <c r="M247" s="322"/>
      <c r="N247" s="322"/>
      <c r="O247" s="322">
        <v>46.8</v>
      </c>
      <c r="P247" s="322">
        <v>31.6</v>
      </c>
      <c r="Q247" s="322">
        <v>31.21</v>
      </c>
      <c r="R247" s="322">
        <v>39.500999999999998</v>
      </c>
      <c r="S247" s="322">
        <f>2+42.076</f>
        <v>44.076000000000001</v>
      </c>
      <c r="T247" s="324"/>
      <c r="U247" s="324">
        <v>10</v>
      </c>
      <c r="V247" s="324"/>
      <c r="W247" s="324"/>
      <c r="X247" s="324"/>
      <c r="Y247" s="324"/>
      <c r="Z247" s="324"/>
      <c r="AA247" s="114">
        <v>35148.5</v>
      </c>
    </row>
    <row r="248" spans="1:29" s="99" customFormat="1" ht="22.5">
      <c r="A248" s="528"/>
      <c r="B248" s="528"/>
      <c r="C248" s="528"/>
      <c r="D248" s="528"/>
      <c r="E248" s="528"/>
      <c r="F248" s="558"/>
      <c r="G248" s="199" t="s">
        <v>844</v>
      </c>
      <c r="H248" s="321" t="s">
        <v>67</v>
      </c>
      <c r="I248" s="321" t="s">
        <v>886</v>
      </c>
      <c r="J248" s="321" t="s">
        <v>886</v>
      </c>
      <c r="K248" s="201" t="s">
        <v>343</v>
      </c>
      <c r="L248" s="225" t="s">
        <v>176</v>
      </c>
      <c r="M248" s="322"/>
      <c r="N248" s="322"/>
      <c r="O248" s="322"/>
      <c r="P248" s="322"/>
      <c r="Q248" s="322"/>
      <c r="R248" s="322"/>
      <c r="S248" s="322"/>
      <c r="T248" s="322">
        <v>42.8</v>
      </c>
      <c r="U248" s="322"/>
      <c r="V248" s="322"/>
      <c r="W248" s="322"/>
      <c r="X248" s="322"/>
      <c r="Y248" s="322"/>
      <c r="Z248" s="322"/>
      <c r="AA248" s="119">
        <f>AA247-T247</f>
        <v>35148.5</v>
      </c>
      <c r="AB248" s="105">
        <f>AB58</f>
        <v>327071</v>
      </c>
      <c r="AC248" s="105">
        <f>AA248+AB248</f>
        <v>362219.5</v>
      </c>
    </row>
    <row r="249" spans="1:29" s="99" customFormat="1" ht="22.5">
      <c r="A249" s="528"/>
      <c r="B249" s="528"/>
      <c r="C249" s="528"/>
      <c r="D249" s="528"/>
      <c r="E249" s="528"/>
      <c r="F249" s="558"/>
      <c r="G249" s="199" t="s">
        <v>844</v>
      </c>
      <c r="H249" s="321" t="s">
        <v>67</v>
      </c>
      <c r="I249" s="321" t="s">
        <v>886</v>
      </c>
      <c r="J249" s="321" t="s">
        <v>904</v>
      </c>
      <c r="K249" s="201" t="s">
        <v>343</v>
      </c>
      <c r="L249" s="225" t="s">
        <v>176</v>
      </c>
      <c r="M249" s="322"/>
      <c r="N249" s="322"/>
      <c r="O249" s="322"/>
      <c r="P249" s="322"/>
      <c r="Q249" s="322"/>
      <c r="R249" s="322"/>
      <c r="S249" s="322"/>
      <c r="T249" s="322"/>
      <c r="U249" s="322">
        <v>91.9</v>
      </c>
      <c r="V249" s="322">
        <v>91.9</v>
      </c>
      <c r="W249" s="322">
        <v>91.9</v>
      </c>
      <c r="X249" s="322">
        <v>91.9</v>
      </c>
      <c r="Y249" s="322">
        <f>X249*1.053</f>
        <v>96.770700000000005</v>
      </c>
      <c r="Z249" s="322">
        <f>Y249*1.053</f>
        <v>101.89954709999999</v>
      </c>
      <c r="AA249" s="114">
        <v>631.1</v>
      </c>
    </row>
    <row r="250" spans="1:29" s="99" customFormat="1" ht="33.75">
      <c r="A250" s="528"/>
      <c r="B250" s="528"/>
      <c r="C250" s="528"/>
      <c r="D250" s="528"/>
      <c r="E250" s="528"/>
      <c r="F250" s="558"/>
      <c r="G250" s="199" t="s">
        <v>307</v>
      </c>
      <c r="H250" s="321" t="s">
        <v>84</v>
      </c>
      <c r="I250" s="321" t="s">
        <v>886</v>
      </c>
      <c r="J250" s="321" t="s">
        <v>886</v>
      </c>
      <c r="K250" s="201" t="s">
        <v>343</v>
      </c>
      <c r="L250" s="225" t="s">
        <v>176</v>
      </c>
      <c r="M250" s="322"/>
      <c r="N250" s="322"/>
      <c r="O250" s="322"/>
      <c r="P250" s="322"/>
      <c r="Q250" s="322"/>
      <c r="R250" s="322"/>
      <c r="S250" s="322"/>
      <c r="T250" s="322">
        <v>9</v>
      </c>
      <c r="U250" s="322">
        <v>5</v>
      </c>
      <c r="V250" s="322"/>
      <c r="W250" s="322"/>
      <c r="X250" s="322"/>
      <c r="Y250" s="322"/>
      <c r="Z250" s="322"/>
      <c r="AA250" s="119">
        <f>AA249-T249</f>
        <v>631.1</v>
      </c>
    </row>
    <row r="251" spans="1:29" s="99" customFormat="1" ht="33.75">
      <c r="A251" s="516"/>
      <c r="B251" s="516"/>
      <c r="C251" s="516"/>
      <c r="D251" s="516"/>
      <c r="E251" s="516"/>
      <c r="F251" s="559"/>
      <c r="G251" s="199" t="s">
        <v>307</v>
      </c>
      <c r="H251" s="321" t="s">
        <v>84</v>
      </c>
      <c r="I251" s="321" t="s">
        <v>886</v>
      </c>
      <c r="J251" s="321" t="s">
        <v>886</v>
      </c>
      <c r="K251" s="201" t="s">
        <v>344</v>
      </c>
      <c r="L251" s="225" t="s">
        <v>176</v>
      </c>
      <c r="M251" s="322"/>
      <c r="N251" s="322"/>
      <c r="O251" s="322"/>
      <c r="P251" s="322"/>
      <c r="Q251" s="322"/>
      <c r="R251" s="322"/>
      <c r="S251" s="322"/>
      <c r="T251" s="322"/>
      <c r="U251" s="322"/>
      <c r="V251" s="322"/>
      <c r="W251" s="322"/>
      <c r="X251" s="322"/>
      <c r="Y251" s="322"/>
      <c r="Z251" s="322"/>
      <c r="AA251" s="114"/>
    </row>
    <row r="252" spans="1:29" s="99" customFormat="1" ht="44.25" customHeight="1">
      <c r="A252" s="209" t="s">
        <v>736</v>
      </c>
      <c r="B252" s="209" t="s">
        <v>810</v>
      </c>
      <c r="C252" s="209" t="s">
        <v>736</v>
      </c>
      <c r="D252" s="209" t="s">
        <v>757</v>
      </c>
      <c r="E252" s="209">
        <v>1</v>
      </c>
      <c r="F252" s="199" t="s">
        <v>639</v>
      </c>
      <c r="G252" s="199" t="s">
        <v>309</v>
      </c>
      <c r="H252" s="321">
        <v>458</v>
      </c>
      <c r="I252" s="321" t="s">
        <v>886</v>
      </c>
      <c r="J252" s="321" t="s">
        <v>886</v>
      </c>
      <c r="K252" s="201" t="s">
        <v>345</v>
      </c>
      <c r="L252" s="225" t="s">
        <v>176</v>
      </c>
      <c r="M252" s="322">
        <v>150</v>
      </c>
      <c r="N252" s="322">
        <v>450</v>
      </c>
      <c r="O252" s="322">
        <v>154.5</v>
      </c>
      <c r="P252" s="322"/>
      <c r="Q252" s="322"/>
      <c r="R252" s="322"/>
      <c r="S252" s="322"/>
      <c r="T252" s="322"/>
      <c r="U252" s="322"/>
      <c r="V252" s="322"/>
      <c r="W252" s="322"/>
      <c r="X252" s="322"/>
      <c r="Y252" s="322"/>
      <c r="Z252" s="322"/>
      <c r="AA252" s="114" t="s">
        <v>355</v>
      </c>
    </row>
    <row r="253" spans="1:29" s="99" customFormat="1" ht="44.25" customHeight="1">
      <c r="A253" s="209" t="s">
        <v>736</v>
      </c>
      <c r="B253" s="209" t="s">
        <v>810</v>
      </c>
      <c r="C253" s="209" t="s">
        <v>736</v>
      </c>
      <c r="D253" s="209" t="s">
        <v>780</v>
      </c>
      <c r="E253" s="209">
        <v>1</v>
      </c>
      <c r="F253" s="199" t="s">
        <v>641</v>
      </c>
      <c r="G253" s="199" t="s">
        <v>309</v>
      </c>
      <c r="H253" s="321"/>
      <c r="I253" s="321"/>
      <c r="J253" s="321"/>
      <c r="K253" s="201"/>
      <c r="L253" s="225"/>
      <c r="M253" s="322"/>
      <c r="N253" s="322"/>
      <c r="O253" s="322"/>
      <c r="P253" s="322"/>
      <c r="Q253" s="322"/>
      <c r="R253" s="322"/>
      <c r="S253" s="322"/>
      <c r="T253" s="322"/>
      <c r="U253" s="322"/>
      <c r="V253" s="322"/>
      <c r="W253" s="322"/>
      <c r="X253" s="322"/>
      <c r="Y253" s="322"/>
      <c r="Z253" s="322"/>
      <c r="AA253" s="114"/>
      <c r="AB253" s="105">
        <f>T253+T307+T311+T321</f>
        <v>1535.4</v>
      </c>
    </row>
    <row r="254" spans="1:29" s="99" customFormat="1" ht="22.5">
      <c r="A254" s="515" t="s">
        <v>736</v>
      </c>
      <c r="B254" s="515" t="s">
        <v>810</v>
      </c>
      <c r="C254" s="515" t="s">
        <v>736</v>
      </c>
      <c r="D254" s="515" t="s">
        <v>803</v>
      </c>
      <c r="E254" s="515" t="s">
        <v>904</v>
      </c>
      <c r="F254" s="557" t="s">
        <v>642</v>
      </c>
      <c r="G254" s="199" t="s">
        <v>309</v>
      </c>
      <c r="H254" s="321">
        <v>458</v>
      </c>
      <c r="I254" s="321" t="s">
        <v>886</v>
      </c>
      <c r="J254" s="321" t="s">
        <v>886</v>
      </c>
      <c r="K254" s="201" t="s">
        <v>346</v>
      </c>
      <c r="L254" s="225" t="s">
        <v>176</v>
      </c>
      <c r="M254" s="322"/>
      <c r="N254" s="322">
        <v>30.7</v>
      </c>
      <c r="O254" s="322">
        <v>53.6</v>
      </c>
      <c r="P254" s="322">
        <v>46.4</v>
      </c>
      <c r="Q254" s="322">
        <v>92.3</v>
      </c>
      <c r="R254" s="322">
        <v>102.69</v>
      </c>
      <c r="S254" s="322">
        <v>118.1</v>
      </c>
      <c r="T254" s="324"/>
      <c r="U254" s="324"/>
      <c r="V254" s="324"/>
      <c r="W254" s="324"/>
      <c r="X254" s="324"/>
      <c r="Y254" s="324"/>
      <c r="Z254" s="324"/>
      <c r="AA254" s="114" t="s">
        <v>359</v>
      </c>
    </row>
    <row r="255" spans="1:29" s="99" customFormat="1" ht="22.5">
      <c r="A255" s="528"/>
      <c r="B255" s="528"/>
      <c r="C255" s="528"/>
      <c r="D255" s="528"/>
      <c r="E255" s="528"/>
      <c r="F255" s="558"/>
      <c r="G255" s="199" t="s">
        <v>844</v>
      </c>
      <c r="H255" s="321" t="s">
        <v>67</v>
      </c>
      <c r="I255" s="321" t="s">
        <v>886</v>
      </c>
      <c r="J255" s="321" t="s">
        <v>886</v>
      </c>
      <c r="K255" s="201" t="s">
        <v>346</v>
      </c>
      <c r="L255" s="225" t="s">
        <v>176</v>
      </c>
      <c r="M255" s="322"/>
      <c r="N255" s="322"/>
      <c r="O255" s="322"/>
      <c r="P255" s="322"/>
      <c r="Q255" s="322"/>
      <c r="R255" s="322"/>
      <c r="S255" s="322"/>
      <c r="T255" s="322">
        <v>90.7</v>
      </c>
      <c r="U255" s="322"/>
      <c r="V255" s="322"/>
      <c r="W255" s="322"/>
      <c r="X255" s="322"/>
      <c r="Y255" s="322"/>
      <c r="Z255" s="322"/>
      <c r="AA255" s="114"/>
    </row>
    <row r="256" spans="1:29" s="99" customFormat="1" ht="22.5">
      <c r="A256" s="516"/>
      <c r="B256" s="516"/>
      <c r="C256" s="516"/>
      <c r="D256" s="516"/>
      <c r="E256" s="516"/>
      <c r="F256" s="559"/>
      <c r="G256" s="199" t="s">
        <v>844</v>
      </c>
      <c r="H256" s="321" t="s">
        <v>67</v>
      </c>
      <c r="I256" s="321" t="s">
        <v>886</v>
      </c>
      <c r="J256" s="321" t="s">
        <v>904</v>
      </c>
      <c r="K256" s="201" t="s">
        <v>346</v>
      </c>
      <c r="L256" s="225" t="s">
        <v>176</v>
      </c>
      <c r="M256" s="322"/>
      <c r="N256" s="322"/>
      <c r="O256" s="322"/>
      <c r="P256" s="322"/>
      <c r="Q256" s="322"/>
      <c r="R256" s="322"/>
      <c r="S256" s="322"/>
      <c r="T256" s="322"/>
      <c r="U256" s="322">
        <v>40.299999999999997</v>
      </c>
      <c r="V256" s="322">
        <v>43</v>
      </c>
      <c r="W256" s="322">
        <v>43</v>
      </c>
      <c r="X256" s="322">
        <v>43</v>
      </c>
      <c r="Y256" s="322">
        <f>X256*1.053</f>
        <v>45.278999999999996</v>
      </c>
      <c r="Z256" s="322">
        <f>Y256*1.053</f>
        <v>47.678786999999993</v>
      </c>
      <c r="AA256" s="114"/>
    </row>
    <row r="257" spans="1:28" s="99" customFormat="1" ht="22.5">
      <c r="A257" s="209" t="s">
        <v>736</v>
      </c>
      <c r="B257" s="209" t="s">
        <v>810</v>
      </c>
      <c r="C257" s="209" t="s">
        <v>736</v>
      </c>
      <c r="D257" s="209" t="s">
        <v>810</v>
      </c>
      <c r="E257" s="209" t="s">
        <v>737</v>
      </c>
      <c r="F257" s="199" t="s">
        <v>545</v>
      </c>
      <c r="G257" s="199" t="s">
        <v>309</v>
      </c>
      <c r="H257" s="321" t="s">
        <v>63</v>
      </c>
      <c r="I257" s="321" t="s">
        <v>886</v>
      </c>
      <c r="J257" s="321" t="s">
        <v>886</v>
      </c>
      <c r="K257" s="201" t="s">
        <v>348</v>
      </c>
      <c r="L257" s="225" t="s">
        <v>176</v>
      </c>
      <c r="M257" s="322"/>
      <c r="N257" s="322">
        <v>9</v>
      </c>
      <c r="O257" s="322"/>
      <c r="P257" s="322">
        <v>16.7</v>
      </c>
      <c r="Q257" s="322">
        <v>3.5</v>
      </c>
      <c r="R257" s="322">
        <v>3</v>
      </c>
      <c r="S257" s="322"/>
      <c r="T257" s="322"/>
      <c r="U257" s="322"/>
      <c r="V257" s="322"/>
      <c r="W257" s="322"/>
      <c r="X257" s="322"/>
      <c r="Y257" s="322"/>
      <c r="Z257" s="322"/>
      <c r="AA257" s="114"/>
    </row>
    <row r="258" spans="1:28" s="99" customFormat="1" ht="11.25">
      <c r="A258" s="595" t="s">
        <v>736</v>
      </c>
      <c r="B258" s="595" t="s">
        <v>815</v>
      </c>
      <c r="C258" s="595" t="s">
        <v>904</v>
      </c>
      <c r="D258" s="595"/>
      <c r="E258" s="595"/>
      <c r="F258" s="598" t="s">
        <v>816</v>
      </c>
      <c r="G258" s="260" t="s">
        <v>109</v>
      </c>
      <c r="H258" s="188" t="s">
        <v>63</v>
      </c>
      <c r="I258" s="188" t="s">
        <v>886</v>
      </c>
      <c r="J258" s="188" t="s">
        <v>904</v>
      </c>
      <c r="K258" s="188" t="s">
        <v>349</v>
      </c>
      <c r="L258" s="185"/>
      <c r="M258" s="374">
        <f>M260</f>
        <v>13078.300000000001</v>
      </c>
      <c r="N258" s="374">
        <f>N260</f>
        <v>43903.600000000006</v>
      </c>
      <c r="O258" s="374">
        <f>O260</f>
        <v>43445.5</v>
      </c>
      <c r="P258" s="374">
        <f>P260+P262</f>
        <v>55556</v>
      </c>
      <c r="Q258" s="374">
        <f>Q260+Q262</f>
        <v>76268.858999999997</v>
      </c>
      <c r="R258" s="374">
        <f>R260+R262</f>
        <v>28148.553400000001</v>
      </c>
      <c r="S258" s="374">
        <f>S260+S262</f>
        <v>30947.7</v>
      </c>
      <c r="T258" s="324"/>
      <c r="U258" s="324"/>
      <c r="V258" s="324"/>
      <c r="W258" s="324"/>
      <c r="X258" s="324"/>
      <c r="Y258" s="324"/>
      <c r="Z258" s="324"/>
      <c r="AA258" s="114"/>
    </row>
    <row r="259" spans="1:28" s="99" customFormat="1" ht="44.25" customHeight="1">
      <c r="A259" s="596"/>
      <c r="B259" s="596"/>
      <c r="C259" s="596"/>
      <c r="D259" s="596"/>
      <c r="E259" s="596"/>
      <c r="F259" s="599"/>
      <c r="G259" s="260"/>
      <c r="H259" s="188" t="s">
        <v>67</v>
      </c>
      <c r="I259" s="188" t="s">
        <v>886</v>
      </c>
      <c r="J259" s="188" t="s">
        <v>904</v>
      </c>
      <c r="K259" s="188" t="s">
        <v>349</v>
      </c>
      <c r="L259" s="185"/>
      <c r="M259" s="374"/>
      <c r="N259" s="374"/>
      <c r="O259" s="374"/>
      <c r="P259" s="374"/>
      <c r="Q259" s="374"/>
      <c r="R259" s="374"/>
      <c r="S259" s="374"/>
      <c r="T259" s="374">
        <f t="shared" ref="T259:Z259" si="37">T261+T263</f>
        <v>32986.1</v>
      </c>
      <c r="U259" s="374">
        <f t="shared" si="37"/>
        <v>39153.499999999993</v>
      </c>
      <c r="V259" s="374">
        <f t="shared" si="37"/>
        <v>50534.6</v>
      </c>
      <c r="W259" s="374">
        <f t="shared" si="37"/>
        <v>32822.800000000003</v>
      </c>
      <c r="X259" s="374">
        <f t="shared" si="37"/>
        <v>32607</v>
      </c>
      <c r="Y259" s="374">
        <f t="shared" si="37"/>
        <v>34059.5239</v>
      </c>
      <c r="Z259" s="374">
        <f t="shared" si="37"/>
        <v>35105.178066699998</v>
      </c>
      <c r="AA259" s="114"/>
      <c r="AB259" s="99" t="s">
        <v>366</v>
      </c>
    </row>
    <row r="260" spans="1:28" s="99" customFormat="1" ht="22.5">
      <c r="A260" s="596"/>
      <c r="B260" s="596"/>
      <c r="C260" s="596"/>
      <c r="D260" s="596"/>
      <c r="E260" s="596"/>
      <c r="F260" s="599"/>
      <c r="G260" s="375" t="s">
        <v>309</v>
      </c>
      <c r="H260" s="376" t="s">
        <v>63</v>
      </c>
      <c r="I260" s="376" t="s">
        <v>886</v>
      </c>
      <c r="J260" s="376" t="s">
        <v>904</v>
      </c>
      <c r="K260" s="188" t="s">
        <v>349</v>
      </c>
      <c r="L260" s="282"/>
      <c r="M260" s="377">
        <f>M268+M273+M292+M314+M280</f>
        <v>13078.300000000001</v>
      </c>
      <c r="N260" s="377">
        <f>N264+N271+N275+N280+N286+N292+N312+N318+N277</f>
        <v>43903.600000000006</v>
      </c>
      <c r="O260" s="377">
        <f>O264+O271+O275+O280+O286+O292+O312+O318+O277</f>
        <v>43445.5</v>
      </c>
      <c r="P260" s="377">
        <f>P268+P273+P292+P314+P280+P275+P277+P286+P288+P306+P318</f>
        <v>55116.7</v>
      </c>
      <c r="Q260" s="374">
        <f>Q268+Q273+Q292+Q314+Q280+Q275+Q277+Q286+Q288+Q318+Q270+Q266</f>
        <v>75949.36</v>
      </c>
      <c r="R260" s="374">
        <f>R268+R273+R292+R314+R280+R275+R277+R286+R288+R318+R270+R266</f>
        <v>28001.253400000001</v>
      </c>
      <c r="S260" s="374">
        <f>S268+S273+S292+S314+S280+S275+S277+S286+S288+S318+S270+S266</f>
        <v>30784.100000000002</v>
      </c>
      <c r="T260" s="324"/>
      <c r="U260" s="324"/>
      <c r="V260" s="324"/>
      <c r="W260" s="324"/>
      <c r="X260" s="324"/>
      <c r="Y260" s="324"/>
      <c r="Z260" s="324"/>
      <c r="AA260" s="114"/>
    </row>
    <row r="261" spans="1:28" s="99" customFormat="1" ht="22.5">
      <c r="A261" s="596"/>
      <c r="B261" s="596"/>
      <c r="C261" s="596"/>
      <c r="D261" s="596"/>
      <c r="E261" s="596"/>
      <c r="F261" s="599"/>
      <c r="G261" s="375" t="s">
        <v>844</v>
      </c>
      <c r="H261" s="376" t="s">
        <v>67</v>
      </c>
      <c r="I261" s="376" t="s">
        <v>886</v>
      </c>
      <c r="J261" s="376" t="s">
        <v>904</v>
      </c>
      <c r="K261" s="188" t="s">
        <v>349</v>
      </c>
      <c r="L261" s="282"/>
      <c r="M261" s="377"/>
      <c r="N261" s="377"/>
      <c r="O261" s="377"/>
      <c r="P261" s="377"/>
      <c r="Q261" s="374"/>
      <c r="R261" s="374"/>
      <c r="S261" s="374"/>
      <c r="T261" s="374">
        <f>T269+T273+T293+T315+T281+T276+T278+T287+T289+T270+T267+T298+T301+T303+T309</f>
        <v>32354.9</v>
      </c>
      <c r="U261" s="374">
        <f>U265+U281+U293-U317</f>
        <v>38801.999999999993</v>
      </c>
      <c r="V261" s="374">
        <f>V265+V281+V287+V289+V293+V313+V319</f>
        <v>48149.799999999996</v>
      </c>
      <c r="W261" s="374">
        <f>W265+W281+W287+W289+W293+W313+W319</f>
        <v>32822.800000000003</v>
      </c>
      <c r="X261" s="374">
        <f>X265+X281+X287+X289+X293+X313+X319</f>
        <v>32607</v>
      </c>
      <c r="Y261" s="374">
        <f>Y265+Y281+Y287+Y289+Y293+Y313+Y319</f>
        <v>34059.5239</v>
      </c>
      <c r="Z261" s="374">
        <f>Z265+Z281+Z287+Z289+Z293+Z313+Z319</f>
        <v>35105.178066699998</v>
      </c>
      <c r="AA261" s="114"/>
    </row>
    <row r="262" spans="1:28" s="99" customFormat="1" ht="11.25">
      <c r="A262" s="596"/>
      <c r="B262" s="596"/>
      <c r="C262" s="596"/>
      <c r="D262" s="596"/>
      <c r="E262" s="596"/>
      <c r="F262" s="599"/>
      <c r="G262" s="375" t="s">
        <v>566</v>
      </c>
      <c r="H262" s="376" t="s">
        <v>80</v>
      </c>
      <c r="I262" s="376" t="s">
        <v>886</v>
      </c>
      <c r="J262" s="376" t="s">
        <v>904</v>
      </c>
      <c r="K262" s="188" t="s">
        <v>349</v>
      </c>
      <c r="L262" s="282"/>
      <c r="M262" s="377">
        <f t="shared" ref="M262:S262" si="38">M290+M308+M316</f>
        <v>0</v>
      </c>
      <c r="N262" s="377">
        <f t="shared" si="38"/>
        <v>0</v>
      </c>
      <c r="O262" s="377">
        <f t="shared" si="38"/>
        <v>361</v>
      </c>
      <c r="P262" s="377">
        <f t="shared" si="38"/>
        <v>439.3</v>
      </c>
      <c r="Q262" s="374">
        <f t="shared" si="38"/>
        <v>319.49900000000002</v>
      </c>
      <c r="R262" s="374">
        <f t="shared" si="38"/>
        <v>147.30000000000001</v>
      </c>
      <c r="S262" s="374">
        <f t="shared" si="38"/>
        <v>163.6</v>
      </c>
      <c r="T262" s="324"/>
      <c r="U262" s="324"/>
      <c r="V262" s="324"/>
      <c r="W262" s="324"/>
      <c r="X262" s="324"/>
      <c r="Y262" s="324"/>
      <c r="Z262" s="324"/>
      <c r="AA262" s="114"/>
    </row>
    <row r="263" spans="1:28" s="99" customFormat="1" ht="33.75" customHeight="1">
      <c r="A263" s="597"/>
      <c r="B263" s="597"/>
      <c r="C263" s="597"/>
      <c r="D263" s="597"/>
      <c r="E263" s="597"/>
      <c r="F263" s="600"/>
      <c r="G263" s="375" t="s">
        <v>111</v>
      </c>
      <c r="H263" s="376" t="s">
        <v>84</v>
      </c>
      <c r="I263" s="376" t="s">
        <v>886</v>
      </c>
      <c r="J263" s="376" t="s">
        <v>904</v>
      </c>
      <c r="K263" s="188" t="s">
        <v>349</v>
      </c>
      <c r="L263" s="282"/>
      <c r="M263" s="377"/>
      <c r="N263" s="377"/>
      <c r="O263" s="377"/>
      <c r="P263" s="377"/>
      <c r="Q263" s="374"/>
      <c r="R263" s="374"/>
      <c r="S263" s="374"/>
      <c r="T263" s="374">
        <f>T291+T308+T317+T299+T305+T310</f>
        <v>631.20000000000005</v>
      </c>
      <c r="U263" s="374">
        <f t="shared" ref="U263:Z263" si="39">U291+U308+U317+U299+U305+U310+U300</f>
        <v>351.5</v>
      </c>
      <c r="V263" s="374">
        <f t="shared" si="39"/>
        <v>2384.8000000000002</v>
      </c>
      <c r="W263" s="374">
        <f t="shared" si="39"/>
        <v>0</v>
      </c>
      <c r="X263" s="374">
        <f t="shared" si="39"/>
        <v>0</v>
      </c>
      <c r="Y263" s="374">
        <f t="shared" si="39"/>
        <v>0</v>
      </c>
      <c r="Z263" s="374">
        <f t="shared" si="39"/>
        <v>0</v>
      </c>
      <c r="AA263" s="114" t="s">
        <v>375</v>
      </c>
    </row>
    <row r="264" spans="1:28" s="99" customFormat="1" ht="22.5">
      <c r="A264" s="515" t="s">
        <v>736</v>
      </c>
      <c r="B264" s="515" t="s">
        <v>815</v>
      </c>
      <c r="C264" s="515" t="s">
        <v>736</v>
      </c>
      <c r="D264" s="515"/>
      <c r="E264" s="515"/>
      <c r="F264" s="571" t="s">
        <v>350</v>
      </c>
      <c r="G264" s="199" t="s">
        <v>309</v>
      </c>
      <c r="H264" s="321" t="s">
        <v>63</v>
      </c>
      <c r="I264" s="321" t="s">
        <v>886</v>
      </c>
      <c r="J264" s="321" t="s">
        <v>904</v>
      </c>
      <c r="K264" s="201" t="s">
        <v>351</v>
      </c>
      <c r="L264" s="209"/>
      <c r="M264" s="322">
        <f>M268</f>
        <v>2379.1999999999998</v>
      </c>
      <c r="N264" s="322">
        <f>N268</f>
        <v>2821.8</v>
      </c>
      <c r="O264" s="322">
        <f>O268</f>
        <v>2830</v>
      </c>
      <c r="P264" s="322">
        <f>P268</f>
        <v>2683.1</v>
      </c>
      <c r="Q264" s="323">
        <f>Q268+Q270</f>
        <v>2737.7370000000001</v>
      </c>
      <c r="R264" s="323">
        <f>R268</f>
        <v>2810.2860000000001</v>
      </c>
      <c r="S264" s="323">
        <f>S268+S266</f>
        <v>3215.2</v>
      </c>
      <c r="T264" s="324"/>
      <c r="U264" s="324"/>
      <c r="V264" s="324"/>
      <c r="W264" s="324"/>
      <c r="X264" s="324"/>
      <c r="Y264" s="324"/>
      <c r="Z264" s="324"/>
      <c r="AA264" s="114"/>
    </row>
    <row r="265" spans="1:28" s="99" customFormat="1" ht="33.75" customHeight="1">
      <c r="A265" s="516"/>
      <c r="B265" s="516"/>
      <c r="C265" s="516"/>
      <c r="D265" s="516"/>
      <c r="E265" s="516"/>
      <c r="F265" s="572"/>
      <c r="G265" s="199" t="s">
        <v>844</v>
      </c>
      <c r="H265" s="321" t="s">
        <v>67</v>
      </c>
      <c r="I265" s="321" t="s">
        <v>886</v>
      </c>
      <c r="J265" s="321" t="s">
        <v>904</v>
      </c>
      <c r="K265" s="201" t="s">
        <v>351</v>
      </c>
      <c r="L265" s="209"/>
      <c r="M265" s="322"/>
      <c r="N265" s="322"/>
      <c r="O265" s="322"/>
      <c r="P265" s="322"/>
      <c r="Q265" s="323"/>
      <c r="R265" s="323"/>
      <c r="S265" s="323"/>
      <c r="T265" s="323">
        <f>T269+T267</f>
        <v>3529.7</v>
      </c>
      <c r="U265" s="323">
        <f t="shared" ref="U265:Z265" si="40">U269+U267+U276</f>
        <v>6087.7000000000007</v>
      </c>
      <c r="V265" s="323">
        <f t="shared" si="40"/>
        <v>8069.6</v>
      </c>
      <c r="W265" s="323">
        <f t="shared" si="40"/>
        <v>5823.6</v>
      </c>
      <c r="X265" s="323">
        <f t="shared" si="40"/>
        <v>6141.8</v>
      </c>
      <c r="Y265" s="323">
        <f t="shared" si="40"/>
        <v>6467.3153999999995</v>
      </c>
      <c r="Z265" s="323">
        <f t="shared" si="40"/>
        <v>6810.0831161999995</v>
      </c>
      <c r="AA265" s="114"/>
    </row>
    <row r="266" spans="1:28" s="99" customFormat="1" ht="45">
      <c r="A266" s="515" t="s">
        <v>736</v>
      </c>
      <c r="B266" s="515" t="s">
        <v>815</v>
      </c>
      <c r="C266" s="515" t="s">
        <v>736</v>
      </c>
      <c r="D266" s="515" t="s">
        <v>933</v>
      </c>
      <c r="E266" s="515" t="s">
        <v>803</v>
      </c>
      <c r="F266" s="571" t="s">
        <v>352</v>
      </c>
      <c r="G266" s="199" t="s">
        <v>309</v>
      </c>
      <c r="H266" s="321" t="s">
        <v>63</v>
      </c>
      <c r="I266" s="321" t="s">
        <v>886</v>
      </c>
      <c r="J266" s="321" t="s">
        <v>904</v>
      </c>
      <c r="K266" s="201" t="s">
        <v>353</v>
      </c>
      <c r="L266" s="225" t="s">
        <v>354</v>
      </c>
      <c r="M266" s="322"/>
      <c r="N266" s="322"/>
      <c r="O266" s="322"/>
      <c r="P266" s="322"/>
      <c r="Q266" s="322">
        <v>59.7</v>
      </c>
      <c r="R266" s="322">
        <v>386.62799999999999</v>
      </c>
      <c r="S266" s="322">
        <v>409.7</v>
      </c>
      <c r="T266" s="324"/>
      <c r="U266" s="324"/>
      <c r="V266" s="324"/>
      <c r="W266" s="324"/>
      <c r="X266" s="324"/>
      <c r="Y266" s="324"/>
      <c r="Z266" s="324"/>
      <c r="AA266" s="114"/>
    </row>
    <row r="267" spans="1:28" s="99" customFormat="1" ht="45">
      <c r="A267" s="516"/>
      <c r="B267" s="516"/>
      <c r="C267" s="516"/>
      <c r="D267" s="516"/>
      <c r="E267" s="516"/>
      <c r="F267" s="572"/>
      <c r="G267" s="199" t="s">
        <v>844</v>
      </c>
      <c r="H267" s="321" t="s">
        <v>67</v>
      </c>
      <c r="I267" s="321" t="s">
        <v>886</v>
      </c>
      <c r="J267" s="321" t="s">
        <v>904</v>
      </c>
      <c r="K267" s="201" t="s">
        <v>353</v>
      </c>
      <c r="L267" s="225" t="s">
        <v>354</v>
      </c>
      <c r="M267" s="322"/>
      <c r="N267" s="322"/>
      <c r="O267" s="322"/>
      <c r="P267" s="322"/>
      <c r="Q267" s="322"/>
      <c r="R267" s="322"/>
      <c r="S267" s="322"/>
      <c r="T267" s="322">
        <v>439.7</v>
      </c>
      <c r="U267" s="322">
        <v>448.6</v>
      </c>
      <c r="V267" s="326">
        <f>485.5+8.6+153.8+29.4+0.5</f>
        <v>677.80000000000007</v>
      </c>
      <c r="W267" s="322">
        <v>436.9</v>
      </c>
      <c r="X267" s="322">
        <v>436.9</v>
      </c>
      <c r="Y267" s="322">
        <f>X267*1.053</f>
        <v>460.05569999999994</v>
      </c>
      <c r="Z267" s="322">
        <f>Y267*1.053</f>
        <v>484.4386520999999</v>
      </c>
      <c r="AA267" s="114"/>
    </row>
    <row r="268" spans="1:28" s="99" customFormat="1" ht="33.75" customHeight="1">
      <c r="A268" s="515" t="s">
        <v>736</v>
      </c>
      <c r="B268" s="515" t="s">
        <v>815</v>
      </c>
      <c r="C268" s="515" t="s">
        <v>736</v>
      </c>
      <c r="D268" s="515" t="s">
        <v>737</v>
      </c>
      <c r="E268" s="515" t="s">
        <v>737</v>
      </c>
      <c r="F268" s="571" t="s">
        <v>356</v>
      </c>
      <c r="G268" s="199" t="s">
        <v>309</v>
      </c>
      <c r="H268" s="321" t="s">
        <v>63</v>
      </c>
      <c r="I268" s="321" t="s">
        <v>886</v>
      </c>
      <c r="J268" s="321" t="s">
        <v>904</v>
      </c>
      <c r="K268" s="201" t="s">
        <v>357</v>
      </c>
      <c r="L268" s="225" t="s">
        <v>358</v>
      </c>
      <c r="M268" s="322">
        <v>2379.1999999999998</v>
      </c>
      <c r="N268" s="322">
        <v>2821.8</v>
      </c>
      <c r="O268" s="322">
        <v>2830</v>
      </c>
      <c r="P268" s="322">
        <v>2683.1</v>
      </c>
      <c r="Q268" s="322">
        <v>2627.2370000000001</v>
      </c>
      <c r="R268" s="322">
        <v>2810.2860000000001</v>
      </c>
      <c r="S268" s="322">
        <v>2805.5</v>
      </c>
      <c r="T268" s="324"/>
      <c r="U268" s="324"/>
      <c r="V268" s="324"/>
      <c r="W268" s="324"/>
      <c r="X268" s="324"/>
      <c r="Y268" s="322"/>
      <c r="Z268" s="322"/>
      <c r="AA268" s="114"/>
    </row>
    <row r="269" spans="1:28" s="99" customFormat="1" ht="67.5">
      <c r="A269" s="528"/>
      <c r="B269" s="528"/>
      <c r="C269" s="528"/>
      <c r="D269" s="528"/>
      <c r="E269" s="528"/>
      <c r="F269" s="605"/>
      <c r="G269" s="199" t="s">
        <v>844</v>
      </c>
      <c r="H269" s="321" t="s">
        <v>67</v>
      </c>
      <c r="I269" s="321" t="s">
        <v>886</v>
      </c>
      <c r="J269" s="321" t="s">
        <v>904</v>
      </c>
      <c r="K269" s="201" t="s">
        <v>357</v>
      </c>
      <c r="L269" s="225" t="s">
        <v>358</v>
      </c>
      <c r="M269" s="322"/>
      <c r="N269" s="322"/>
      <c r="O269" s="322"/>
      <c r="P269" s="322"/>
      <c r="Q269" s="322"/>
      <c r="R269" s="322"/>
      <c r="S269" s="322"/>
      <c r="T269" s="322">
        <v>3090</v>
      </c>
      <c r="U269" s="322">
        <v>3514.8</v>
      </c>
      <c r="V269" s="326">
        <f>3673.4+2+1102.1+43.5+16.3+1.8</f>
        <v>4839.1000000000004</v>
      </c>
      <c r="W269" s="322">
        <v>2854.3</v>
      </c>
      <c r="X269" s="322">
        <v>3023.4</v>
      </c>
      <c r="Y269" s="322">
        <f>X269*1.053</f>
        <v>3183.6401999999998</v>
      </c>
      <c r="Z269" s="322">
        <f>Y269*1.053</f>
        <v>3352.3731305999995</v>
      </c>
      <c r="AA269" s="114"/>
    </row>
    <row r="270" spans="1:28" s="99" customFormat="1" ht="22.5">
      <c r="A270" s="516"/>
      <c r="B270" s="516"/>
      <c r="C270" s="516"/>
      <c r="D270" s="516"/>
      <c r="E270" s="516"/>
      <c r="F270" s="572"/>
      <c r="G270" s="199" t="s">
        <v>309</v>
      </c>
      <c r="H270" s="321" t="s">
        <v>63</v>
      </c>
      <c r="I270" s="321" t="s">
        <v>886</v>
      </c>
      <c r="J270" s="321" t="s">
        <v>904</v>
      </c>
      <c r="K270" s="201" t="s">
        <v>360</v>
      </c>
      <c r="L270" s="225" t="s">
        <v>144</v>
      </c>
      <c r="M270" s="322"/>
      <c r="N270" s="322"/>
      <c r="O270" s="322"/>
      <c r="P270" s="322"/>
      <c r="Q270" s="322">
        <v>110.5</v>
      </c>
      <c r="R270" s="322"/>
      <c r="S270" s="322"/>
      <c r="T270" s="322"/>
      <c r="U270" s="322"/>
      <c r="V270" s="322"/>
      <c r="W270" s="322"/>
      <c r="X270" s="322"/>
      <c r="Y270" s="322"/>
      <c r="Z270" s="322"/>
      <c r="AA270" s="114"/>
    </row>
    <row r="271" spans="1:28" s="99" customFormat="1" ht="22.5">
      <c r="A271" s="209" t="s">
        <v>736</v>
      </c>
      <c r="B271" s="209" t="s">
        <v>815</v>
      </c>
      <c r="C271" s="209" t="s">
        <v>848</v>
      </c>
      <c r="D271" s="209"/>
      <c r="E271" s="209"/>
      <c r="F271" s="268" t="s">
        <v>662</v>
      </c>
      <c r="G271" s="199" t="s">
        <v>309</v>
      </c>
      <c r="H271" s="321" t="s">
        <v>86</v>
      </c>
      <c r="I271" s="321" t="s">
        <v>736</v>
      </c>
      <c r="J271" s="321" t="s">
        <v>3</v>
      </c>
      <c r="K271" s="321" t="s">
        <v>361</v>
      </c>
      <c r="L271" s="225"/>
      <c r="M271" s="323">
        <f t="shared" ref="M271:Z271" si="41">M273</f>
        <v>10579.7</v>
      </c>
      <c r="N271" s="323">
        <f t="shared" si="41"/>
        <v>8173.9</v>
      </c>
      <c r="O271" s="323">
        <f t="shared" si="41"/>
        <v>8577.7000000000007</v>
      </c>
      <c r="P271" s="323">
        <f t="shared" si="41"/>
        <v>8741.4</v>
      </c>
      <c r="Q271" s="323">
        <f t="shared" si="41"/>
        <v>8447.3019999999997</v>
      </c>
      <c r="R271" s="323">
        <f t="shared" si="41"/>
        <v>0</v>
      </c>
      <c r="S271" s="323">
        <f t="shared" si="41"/>
        <v>0</v>
      </c>
      <c r="T271" s="323">
        <f t="shared" si="41"/>
        <v>0</v>
      </c>
      <c r="U271" s="323">
        <f t="shared" si="41"/>
        <v>0</v>
      </c>
      <c r="V271" s="323">
        <f t="shared" si="41"/>
        <v>0</v>
      </c>
      <c r="W271" s="323">
        <f t="shared" si="41"/>
        <v>0</v>
      </c>
      <c r="X271" s="323">
        <f t="shared" si="41"/>
        <v>0</v>
      </c>
      <c r="Y271" s="323">
        <f t="shared" si="41"/>
        <v>0</v>
      </c>
      <c r="Z271" s="323">
        <f t="shared" si="41"/>
        <v>0</v>
      </c>
      <c r="AA271" s="114"/>
    </row>
    <row r="272" spans="1:28" s="99" customFormat="1" ht="33.75">
      <c r="A272" s="380" t="s">
        <v>736</v>
      </c>
      <c r="B272" s="380" t="s">
        <v>815</v>
      </c>
      <c r="C272" s="380" t="s">
        <v>848</v>
      </c>
      <c r="D272" s="380">
        <v>1</v>
      </c>
      <c r="E272" s="380" t="s">
        <v>737</v>
      </c>
      <c r="F272" s="268" t="s">
        <v>362</v>
      </c>
      <c r="G272" s="268" t="s">
        <v>309</v>
      </c>
      <c r="H272" s="381"/>
      <c r="I272" s="381"/>
      <c r="J272" s="381"/>
      <c r="K272" s="381"/>
      <c r="L272" s="382"/>
      <c r="M272" s="383"/>
      <c r="N272" s="383"/>
      <c r="O272" s="383"/>
      <c r="P272" s="383"/>
      <c r="Q272" s="383"/>
      <c r="R272" s="383"/>
      <c r="S272" s="383"/>
      <c r="T272" s="383"/>
      <c r="U272" s="383"/>
      <c r="V272" s="383"/>
      <c r="W272" s="383"/>
      <c r="X272" s="383"/>
      <c r="Y272" s="383"/>
      <c r="Z272" s="383"/>
      <c r="AA272" s="114"/>
    </row>
    <row r="273" spans="1:27" s="99" customFormat="1" ht="67.5">
      <c r="A273" s="380" t="s">
        <v>736</v>
      </c>
      <c r="B273" s="380">
        <v>6</v>
      </c>
      <c r="C273" s="380" t="s">
        <v>848</v>
      </c>
      <c r="D273" s="380">
        <v>2</v>
      </c>
      <c r="E273" s="380">
        <v>1</v>
      </c>
      <c r="F273" s="199" t="s">
        <v>363</v>
      </c>
      <c r="G273" s="268" t="s">
        <v>309</v>
      </c>
      <c r="H273" s="268">
        <v>456</v>
      </c>
      <c r="I273" s="384" t="s">
        <v>736</v>
      </c>
      <c r="J273" s="268">
        <v>13</v>
      </c>
      <c r="K273" s="384" t="s">
        <v>364</v>
      </c>
      <c r="L273" s="380" t="s">
        <v>365</v>
      </c>
      <c r="M273" s="322">
        <v>10579.7</v>
      </c>
      <c r="N273" s="322">
        <v>8173.9</v>
      </c>
      <c r="O273" s="322">
        <v>8577.7000000000007</v>
      </c>
      <c r="P273" s="322">
        <v>8741.4</v>
      </c>
      <c r="Q273" s="322">
        <v>8447.3019999999997</v>
      </c>
      <c r="R273" s="322"/>
      <c r="S273" s="322"/>
      <c r="T273" s="322"/>
      <c r="U273" s="322"/>
      <c r="V273" s="322"/>
      <c r="W273" s="322"/>
      <c r="X273" s="322"/>
      <c r="Y273" s="322"/>
      <c r="Z273" s="322"/>
      <c r="AA273" s="114"/>
    </row>
    <row r="274" spans="1:27" s="99" customFormat="1" ht="22.5">
      <c r="A274" s="380" t="s">
        <v>736</v>
      </c>
      <c r="B274" s="380">
        <v>6</v>
      </c>
      <c r="C274" s="380" t="s">
        <v>848</v>
      </c>
      <c r="D274" s="380">
        <v>3</v>
      </c>
      <c r="E274" s="380">
        <v>1</v>
      </c>
      <c r="F274" s="199" t="s">
        <v>367</v>
      </c>
      <c r="G274" s="268" t="s">
        <v>309</v>
      </c>
      <c r="H274" s="268" t="s">
        <v>63</v>
      </c>
      <c r="I274" s="268" t="s">
        <v>886</v>
      </c>
      <c r="J274" s="268" t="s">
        <v>904</v>
      </c>
      <c r="K274" s="384" t="s">
        <v>368</v>
      </c>
      <c r="L274" s="380" t="s">
        <v>369</v>
      </c>
      <c r="M274" s="322"/>
      <c r="N274" s="322"/>
      <c r="O274" s="322"/>
      <c r="P274" s="322"/>
      <c r="Q274" s="322"/>
      <c r="R274" s="322"/>
      <c r="S274" s="322"/>
      <c r="T274" s="322"/>
      <c r="U274" s="322"/>
      <c r="V274" s="322"/>
      <c r="W274" s="322"/>
      <c r="X274" s="322"/>
      <c r="Y274" s="322"/>
      <c r="Z274" s="322"/>
      <c r="AA274" s="114" t="s">
        <v>389</v>
      </c>
    </row>
    <row r="275" spans="1:27" s="99" customFormat="1" ht="56.25">
      <c r="A275" s="515" t="s">
        <v>736</v>
      </c>
      <c r="B275" s="515" t="s">
        <v>815</v>
      </c>
      <c r="C275" s="515" t="s">
        <v>859</v>
      </c>
      <c r="D275" s="564"/>
      <c r="E275" s="564"/>
      <c r="F275" s="529" t="s">
        <v>370</v>
      </c>
      <c r="G275" s="268" t="s">
        <v>309</v>
      </c>
      <c r="H275" s="268" t="s">
        <v>63</v>
      </c>
      <c r="I275" s="268" t="s">
        <v>886</v>
      </c>
      <c r="J275" s="268" t="s">
        <v>904</v>
      </c>
      <c r="K275" s="384" t="s">
        <v>371</v>
      </c>
      <c r="L275" s="380" t="s">
        <v>372</v>
      </c>
      <c r="M275" s="322"/>
      <c r="N275" s="322">
        <v>1943.9</v>
      </c>
      <c r="O275" s="322">
        <v>2029.1</v>
      </c>
      <c r="P275" s="322">
        <v>2180.6</v>
      </c>
      <c r="Q275" s="322">
        <v>2113.62</v>
      </c>
      <c r="R275" s="322">
        <v>1994.4829999999999</v>
      </c>
      <c r="S275" s="322">
        <v>1804.6</v>
      </c>
      <c r="T275" s="324"/>
      <c r="U275" s="324"/>
      <c r="V275" s="324"/>
      <c r="W275" s="324"/>
      <c r="X275" s="324"/>
      <c r="Y275" s="324"/>
      <c r="Z275" s="324"/>
      <c r="AA275" s="114"/>
    </row>
    <row r="276" spans="1:27" s="99" customFormat="1" ht="56.25">
      <c r="A276" s="516"/>
      <c r="B276" s="516"/>
      <c r="C276" s="516"/>
      <c r="D276" s="565"/>
      <c r="E276" s="565"/>
      <c r="F276" s="530"/>
      <c r="G276" s="268" t="s">
        <v>844</v>
      </c>
      <c r="H276" s="268">
        <v>462</v>
      </c>
      <c r="I276" s="268" t="s">
        <v>886</v>
      </c>
      <c r="J276" s="268" t="s">
        <v>904</v>
      </c>
      <c r="K276" s="384" t="s">
        <v>371</v>
      </c>
      <c r="L276" s="380" t="s">
        <v>372</v>
      </c>
      <c r="M276" s="322"/>
      <c r="N276" s="322"/>
      <c r="O276" s="322"/>
      <c r="P276" s="322"/>
      <c r="Q276" s="322"/>
      <c r="R276" s="322"/>
      <c r="S276" s="322"/>
      <c r="T276" s="322">
        <v>2117.8000000000002</v>
      </c>
      <c r="U276" s="322">
        <v>2124.3000000000002</v>
      </c>
      <c r="V276" s="326">
        <f>1940.8+6.4+586.1+12.7+6.7</f>
        <v>2552.6999999999998</v>
      </c>
      <c r="W276" s="322">
        <v>2532.4</v>
      </c>
      <c r="X276" s="322">
        <v>2681.5</v>
      </c>
      <c r="Y276" s="322">
        <f>X276*1.053</f>
        <v>2823.6194999999998</v>
      </c>
      <c r="Z276" s="322">
        <f>Y276*1.053</f>
        <v>2973.2713334999994</v>
      </c>
      <c r="AA276" s="114"/>
    </row>
    <row r="277" spans="1:27" s="99" customFormat="1" ht="22.5">
      <c r="A277" s="515" t="s">
        <v>736</v>
      </c>
      <c r="B277" s="515" t="s">
        <v>815</v>
      </c>
      <c r="C277" s="515" t="s">
        <v>865</v>
      </c>
      <c r="D277" s="564"/>
      <c r="E277" s="564"/>
      <c r="F277" s="529" t="s">
        <v>373</v>
      </c>
      <c r="G277" s="268" t="s">
        <v>309</v>
      </c>
      <c r="H277" s="268">
        <v>458</v>
      </c>
      <c r="I277" s="384" t="s">
        <v>886</v>
      </c>
      <c r="J277" s="384" t="s">
        <v>869</v>
      </c>
      <c r="K277" s="384" t="s">
        <v>374</v>
      </c>
      <c r="L277" s="380" t="s">
        <v>224</v>
      </c>
      <c r="M277" s="322"/>
      <c r="N277" s="322">
        <v>179.6</v>
      </c>
      <c r="O277" s="322">
        <v>229.6</v>
      </c>
      <c r="P277" s="322">
        <v>266.3</v>
      </c>
      <c r="Q277" s="322">
        <v>157.69999999999999</v>
      </c>
      <c r="R277" s="322">
        <v>188.1</v>
      </c>
      <c r="S277" s="322">
        <v>138.69999999999999</v>
      </c>
      <c r="T277" s="324"/>
      <c r="U277" s="324"/>
      <c r="V277" s="324"/>
      <c r="W277" s="324"/>
      <c r="X277" s="324"/>
      <c r="Y277" s="324"/>
      <c r="Z277" s="324"/>
      <c r="AA277" s="114"/>
    </row>
    <row r="278" spans="1:27" s="99" customFormat="1" ht="22.5">
      <c r="A278" s="516"/>
      <c r="B278" s="516"/>
      <c r="C278" s="516"/>
      <c r="D278" s="565"/>
      <c r="E278" s="565"/>
      <c r="F278" s="530"/>
      <c r="G278" s="268" t="s">
        <v>844</v>
      </c>
      <c r="H278" s="268">
        <v>462</v>
      </c>
      <c r="I278" s="384" t="s">
        <v>886</v>
      </c>
      <c r="J278" s="384" t="s">
        <v>869</v>
      </c>
      <c r="K278" s="384" t="s">
        <v>374</v>
      </c>
      <c r="L278" s="380" t="s">
        <v>224</v>
      </c>
      <c r="M278" s="322"/>
      <c r="N278" s="322"/>
      <c r="O278" s="322"/>
      <c r="P278" s="322"/>
      <c r="Q278" s="322"/>
      <c r="R278" s="322"/>
      <c r="S278" s="322"/>
      <c r="T278" s="322">
        <v>20.5</v>
      </c>
      <c r="U278" s="322"/>
      <c r="V278" s="322"/>
      <c r="W278" s="322"/>
      <c r="X278" s="322"/>
      <c r="Y278" s="322"/>
      <c r="Z278" s="322"/>
      <c r="AA278" s="114"/>
    </row>
    <row r="279" spans="1:27" s="99" customFormat="1" ht="33.75">
      <c r="A279" s="209" t="s">
        <v>736</v>
      </c>
      <c r="B279" s="209" t="s">
        <v>815</v>
      </c>
      <c r="C279" s="209" t="s">
        <v>869</v>
      </c>
      <c r="D279" s="380"/>
      <c r="E279" s="380"/>
      <c r="F279" s="199" t="s">
        <v>376</v>
      </c>
      <c r="G279" s="268" t="s">
        <v>309</v>
      </c>
      <c r="H279" s="268"/>
      <c r="I279" s="268"/>
      <c r="J279" s="268"/>
      <c r="K279" s="268"/>
      <c r="L279" s="380"/>
      <c r="M279" s="322"/>
      <c r="N279" s="322"/>
      <c r="O279" s="322"/>
      <c r="P279" s="322"/>
      <c r="Q279" s="322"/>
      <c r="R279" s="322"/>
      <c r="S279" s="322"/>
      <c r="T279" s="322"/>
      <c r="U279" s="322"/>
      <c r="V279" s="322"/>
      <c r="W279" s="322"/>
      <c r="X279" s="322"/>
      <c r="Y279" s="322"/>
      <c r="Z279" s="322"/>
      <c r="AA279" s="114"/>
    </row>
    <row r="280" spans="1:27" s="99" customFormat="1" ht="39" customHeight="1">
      <c r="A280" s="566" t="s">
        <v>736</v>
      </c>
      <c r="B280" s="566" t="s">
        <v>815</v>
      </c>
      <c r="C280" s="566" t="s">
        <v>883</v>
      </c>
      <c r="D280" s="566"/>
      <c r="E280" s="566"/>
      <c r="F280" s="577" t="s">
        <v>683</v>
      </c>
      <c r="G280" s="385" t="s">
        <v>117</v>
      </c>
      <c r="H280" s="385" t="s">
        <v>63</v>
      </c>
      <c r="I280" s="385" t="s">
        <v>886</v>
      </c>
      <c r="J280" s="385" t="s">
        <v>904</v>
      </c>
      <c r="K280" s="385" t="s">
        <v>377</v>
      </c>
      <c r="L280" s="386"/>
      <c r="M280" s="312">
        <v>119.4</v>
      </c>
      <c r="N280" s="312">
        <f>N282</f>
        <v>315.10000000000002</v>
      </c>
      <c r="O280" s="312">
        <f>O282</f>
        <v>282.3</v>
      </c>
      <c r="P280" s="312">
        <f>P282+P284</f>
        <v>348.9</v>
      </c>
      <c r="Q280" s="312">
        <f>Q282+Q284</f>
        <v>192.39099999999999</v>
      </c>
      <c r="R280" s="312">
        <f>R282+R284</f>
        <v>91.183000000000007</v>
      </c>
      <c r="S280" s="312">
        <f>S282+S284</f>
        <v>377.7</v>
      </c>
      <c r="T280" s="324"/>
      <c r="U280" s="324"/>
      <c r="V280" s="324"/>
      <c r="W280" s="324"/>
      <c r="X280" s="324"/>
      <c r="Y280" s="324"/>
      <c r="Z280" s="324"/>
      <c r="AA280" s="114"/>
    </row>
    <row r="281" spans="1:27" s="99" customFormat="1" ht="22.5">
      <c r="A281" s="567"/>
      <c r="B281" s="567"/>
      <c r="C281" s="567"/>
      <c r="D281" s="567"/>
      <c r="E281" s="567"/>
      <c r="F281" s="578"/>
      <c r="G281" s="385" t="s">
        <v>844</v>
      </c>
      <c r="H281" s="385">
        <v>462</v>
      </c>
      <c r="I281" s="385" t="s">
        <v>886</v>
      </c>
      <c r="J281" s="385" t="s">
        <v>904</v>
      </c>
      <c r="K281" s="385" t="s">
        <v>377</v>
      </c>
      <c r="L281" s="386"/>
      <c r="M281" s="312"/>
      <c r="N281" s="312"/>
      <c r="O281" s="312"/>
      <c r="P281" s="312"/>
      <c r="Q281" s="312"/>
      <c r="R281" s="312"/>
      <c r="S281" s="312"/>
      <c r="T281" s="312">
        <f>T283+T284</f>
        <v>261.2</v>
      </c>
      <c r="U281" s="312">
        <f>U283+U285+U287+U289</f>
        <v>4176</v>
      </c>
      <c r="V281" s="312">
        <f>V283+V284</f>
        <v>544.29999999999995</v>
      </c>
      <c r="W281" s="312">
        <f>W283+W284</f>
        <v>56.8</v>
      </c>
      <c r="X281" s="312">
        <f>X283+X284</f>
        <v>56.8</v>
      </c>
      <c r="Y281" s="312">
        <f>Y283+Y284</f>
        <v>59.810399999999994</v>
      </c>
      <c r="Z281" s="312">
        <f>Z283+Z284</f>
        <v>62.980351199999987</v>
      </c>
      <c r="AA281" s="114" t="s">
        <v>395</v>
      </c>
    </row>
    <row r="282" spans="1:27" s="99" customFormat="1" ht="22.5">
      <c r="A282" s="564" t="s">
        <v>736</v>
      </c>
      <c r="B282" s="564">
        <v>6</v>
      </c>
      <c r="C282" s="606" t="s">
        <v>883</v>
      </c>
      <c r="D282" s="564">
        <v>1</v>
      </c>
      <c r="E282" s="564">
        <v>1</v>
      </c>
      <c r="F282" s="529" t="s">
        <v>378</v>
      </c>
      <c r="G282" s="268" t="s">
        <v>117</v>
      </c>
      <c r="H282" s="268" t="s">
        <v>63</v>
      </c>
      <c r="I282" s="268" t="s">
        <v>886</v>
      </c>
      <c r="J282" s="268" t="s">
        <v>904</v>
      </c>
      <c r="K282" s="384" t="s">
        <v>379</v>
      </c>
      <c r="L282" s="380">
        <v>244</v>
      </c>
      <c r="M282" s="322">
        <v>119.4</v>
      </c>
      <c r="N282" s="322">
        <f>302.1+13</f>
        <v>315.10000000000002</v>
      </c>
      <c r="O282" s="322">
        <v>282.3</v>
      </c>
      <c r="P282" s="322">
        <v>336.4</v>
      </c>
      <c r="Q282" s="322">
        <v>177.39099999999999</v>
      </c>
      <c r="R282" s="322">
        <v>91.183000000000007</v>
      </c>
      <c r="S282" s="322">
        <v>377.7</v>
      </c>
      <c r="T282" s="324"/>
      <c r="U282" s="324"/>
      <c r="V282" s="324"/>
      <c r="W282" s="324"/>
      <c r="X282" s="324"/>
      <c r="Y282" s="324"/>
      <c r="Z282" s="324"/>
      <c r="AA282" s="114"/>
    </row>
    <row r="283" spans="1:27" s="99" customFormat="1" ht="22.5">
      <c r="A283" s="565"/>
      <c r="B283" s="565"/>
      <c r="C283" s="607"/>
      <c r="D283" s="565"/>
      <c r="E283" s="565"/>
      <c r="F283" s="530"/>
      <c r="G283" s="268" t="s">
        <v>844</v>
      </c>
      <c r="H283" s="268">
        <v>462</v>
      </c>
      <c r="I283" s="268" t="s">
        <v>886</v>
      </c>
      <c r="J283" s="268" t="s">
        <v>904</v>
      </c>
      <c r="K283" s="384" t="s">
        <v>379</v>
      </c>
      <c r="L283" s="380">
        <v>244</v>
      </c>
      <c r="M283" s="322"/>
      <c r="N283" s="322"/>
      <c r="O283" s="322"/>
      <c r="P283" s="322"/>
      <c r="Q283" s="322"/>
      <c r="R283" s="322"/>
      <c r="S283" s="322"/>
      <c r="T283" s="322">
        <v>261.2</v>
      </c>
      <c r="U283" s="322">
        <v>165.8</v>
      </c>
      <c r="V283" s="326">
        <f>5.5+144.3+1.2+6</f>
        <v>157</v>
      </c>
      <c r="W283" s="322">
        <v>56.8</v>
      </c>
      <c r="X283" s="322">
        <v>56.8</v>
      </c>
      <c r="Y283" s="322">
        <f>X283*1.053</f>
        <v>59.810399999999994</v>
      </c>
      <c r="Z283" s="322">
        <f>Y283*1.053</f>
        <v>62.980351199999987</v>
      </c>
      <c r="AA283" s="114"/>
    </row>
    <row r="284" spans="1:27" s="99" customFormat="1" ht="33.75">
      <c r="A284" s="380" t="s">
        <v>736</v>
      </c>
      <c r="B284" s="380">
        <v>6</v>
      </c>
      <c r="C284" s="387" t="s">
        <v>883</v>
      </c>
      <c r="D284" s="380">
        <v>1</v>
      </c>
      <c r="E284" s="380">
        <v>2</v>
      </c>
      <c r="F284" s="199" t="s">
        <v>380</v>
      </c>
      <c r="G284" s="268" t="s">
        <v>117</v>
      </c>
      <c r="H284" s="268">
        <v>462</v>
      </c>
      <c r="I284" s="384" t="s">
        <v>886</v>
      </c>
      <c r="J284" s="384" t="s">
        <v>904</v>
      </c>
      <c r="K284" s="384" t="s">
        <v>381</v>
      </c>
      <c r="L284" s="387" t="s">
        <v>144</v>
      </c>
      <c r="M284" s="322"/>
      <c r="N284" s="322"/>
      <c r="O284" s="322"/>
      <c r="P284" s="322">
        <v>12.5</v>
      </c>
      <c r="Q284" s="322">
        <v>15</v>
      </c>
      <c r="R284" s="322"/>
      <c r="S284" s="322"/>
      <c r="T284" s="322"/>
      <c r="U284" s="322"/>
      <c r="V284" s="322">
        <f>179.4+15.6+9.4+0.2+118.4+64.3</f>
        <v>387.3</v>
      </c>
      <c r="W284" s="322"/>
      <c r="X284" s="322"/>
      <c r="Y284" s="322"/>
      <c r="Z284" s="322"/>
      <c r="AA284" s="114"/>
    </row>
    <row r="285" spans="1:27" s="99" customFormat="1" ht="22.5">
      <c r="A285" s="388" t="s">
        <v>736</v>
      </c>
      <c r="B285" s="389">
        <v>6</v>
      </c>
      <c r="C285" s="388" t="s">
        <v>904</v>
      </c>
      <c r="D285" s="389"/>
      <c r="E285" s="389"/>
      <c r="F285" s="351" t="s">
        <v>382</v>
      </c>
      <c r="G285" s="268" t="s">
        <v>117</v>
      </c>
      <c r="H285" s="268">
        <v>462</v>
      </c>
      <c r="I285" s="268" t="s">
        <v>886</v>
      </c>
      <c r="J285" s="268" t="s">
        <v>904</v>
      </c>
      <c r="K285" s="384" t="s">
        <v>383</v>
      </c>
      <c r="L285" s="387" t="s">
        <v>144</v>
      </c>
      <c r="M285" s="322"/>
      <c r="N285" s="322"/>
      <c r="O285" s="322"/>
      <c r="P285" s="322"/>
      <c r="Q285" s="322"/>
      <c r="R285" s="322"/>
      <c r="S285" s="322"/>
      <c r="T285" s="322"/>
      <c r="U285" s="322">
        <v>13</v>
      </c>
      <c r="V285" s="322"/>
      <c r="W285" s="322"/>
      <c r="X285" s="322"/>
      <c r="Y285" s="322"/>
      <c r="Z285" s="322"/>
      <c r="AA285" s="114"/>
    </row>
    <row r="286" spans="1:27" s="99" customFormat="1" ht="22.5">
      <c r="A286" s="515" t="s">
        <v>736</v>
      </c>
      <c r="B286" s="515" t="s">
        <v>815</v>
      </c>
      <c r="C286" s="515" t="s">
        <v>923</v>
      </c>
      <c r="D286" s="515"/>
      <c r="E286" s="515"/>
      <c r="F286" s="608" t="s">
        <v>384</v>
      </c>
      <c r="G286" s="268" t="s">
        <v>117</v>
      </c>
      <c r="H286" s="268" t="s">
        <v>63</v>
      </c>
      <c r="I286" s="268" t="s">
        <v>886</v>
      </c>
      <c r="J286" s="268" t="s">
        <v>904</v>
      </c>
      <c r="K286" s="384" t="s">
        <v>385</v>
      </c>
      <c r="L286" s="387" t="s">
        <v>988</v>
      </c>
      <c r="M286" s="322"/>
      <c r="N286" s="322">
        <v>12710.5</v>
      </c>
      <c r="O286" s="322">
        <v>11567.3</v>
      </c>
      <c r="P286" s="322">
        <v>21210.9</v>
      </c>
      <c r="Q286" s="322">
        <v>43779.5</v>
      </c>
      <c r="R286" s="322"/>
      <c r="S286" s="322"/>
      <c r="T286" s="322"/>
      <c r="U286" s="322"/>
      <c r="V286" s="326">
        <f>10577.3</f>
        <v>10577.3</v>
      </c>
      <c r="W286" s="322"/>
      <c r="X286" s="322"/>
      <c r="Y286" s="322"/>
      <c r="Z286" s="322"/>
      <c r="AA286" s="114"/>
    </row>
    <row r="287" spans="1:27" s="99" customFormat="1" ht="22.5">
      <c r="A287" s="516"/>
      <c r="B287" s="516"/>
      <c r="C287" s="516"/>
      <c r="D287" s="516"/>
      <c r="E287" s="516"/>
      <c r="F287" s="609"/>
      <c r="G287" s="268" t="s">
        <v>117</v>
      </c>
      <c r="H287" s="268">
        <v>462</v>
      </c>
      <c r="I287" s="268" t="s">
        <v>886</v>
      </c>
      <c r="J287" s="268" t="s">
        <v>904</v>
      </c>
      <c r="K287" s="384" t="s">
        <v>385</v>
      </c>
      <c r="L287" s="387" t="s">
        <v>386</v>
      </c>
      <c r="M287" s="322"/>
      <c r="N287" s="322"/>
      <c r="O287" s="322"/>
      <c r="P287" s="322"/>
      <c r="Q287" s="322"/>
      <c r="R287" s="322"/>
      <c r="S287" s="322"/>
      <c r="T287" s="322">
        <v>155.9</v>
      </c>
      <c r="U287" s="322">
        <v>3065.5</v>
      </c>
      <c r="V287" s="322">
        <v>8129.6</v>
      </c>
      <c r="W287" s="322">
        <v>8129.6</v>
      </c>
      <c r="X287" s="322">
        <v>8129.6</v>
      </c>
      <c r="Y287" s="322">
        <f>X287*1.053</f>
        <v>8560.4688000000006</v>
      </c>
      <c r="Z287" s="322">
        <f>Y287*1.053</f>
        <v>9014.1736464000005</v>
      </c>
      <c r="AA287" s="114"/>
    </row>
    <row r="288" spans="1:27" s="99" customFormat="1" ht="33.75">
      <c r="A288" s="515" t="s">
        <v>736</v>
      </c>
      <c r="B288" s="515" t="s">
        <v>815</v>
      </c>
      <c r="C288" s="515" t="s">
        <v>923</v>
      </c>
      <c r="D288" s="515"/>
      <c r="E288" s="564"/>
      <c r="F288" s="571" t="s">
        <v>384</v>
      </c>
      <c r="G288" s="268" t="s">
        <v>117</v>
      </c>
      <c r="H288" s="268" t="s">
        <v>63</v>
      </c>
      <c r="I288" s="268" t="s">
        <v>886</v>
      </c>
      <c r="J288" s="268" t="s">
        <v>904</v>
      </c>
      <c r="K288" s="384" t="s">
        <v>387</v>
      </c>
      <c r="L288" s="387" t="s">
        <v>388</v>
      </c>
      <c r="M288" s="322"/>
      <c r="N288" s="322"/>
      <c r="O288" s="322"/>
      <c r="P288" s="322">
        <v>1578</v>
      </c>
      <c r="Q288" s="322">
        <v>2117.5790000000002</v>
      </c>
      <c r="R288" s="322">
        <v>1688.24</v>
      </c>
      <c r="S288" s="322">
        <v>1204</v>
      </c>
      <c r="T288" s="324"/>
      <c r="U288" s="324"/>
      <c r="V288" s="324"/>
      <c r="W288" s="324"/>
      <c r="X288" s="324"/>
      <c r="Y288" s="322"/>
      <c r="Z288" s="322"/>
      <c r="AA288" s="114"/>
    </row>
    <row r="289" spans="1:27" s="99" customFormat="1" ht="33.75">
      <c r="A289" s="516"/>
      <c r="B289" s="516"/>
      <c r="C289" s="516"/>
      <c r="D289" s="516"/>
      <c r="E289" s="565"/>
      <c r="F289" s="572"/>
      <c r="G289" s="268" t="s">
        <v>844</v>
      </c>
      <c r="H289" s="268">
        <v>462</v>
      </c>
      <c r="I289" s="268" t="s">
        <v>886</v>
      </c>
      <c r="J289" s="268" t="s">
        <v>904</v>
      </c>
      <c r="K289" s="384" t="s">
        <v>387</v>
      </c>
      <c r="L289" s="387" t="s">
        <v>388</v>
      </c>
      <c r="M289" s="322"/>
      <c r="N289" s="322"/>
      <c r="O289" s="322"/>
      <c r="P289" s="322"/>
      <c r="Q289" s="322"/>
      <c r="R289" s="322"/>
      <c r="S289" s="322"/>
      <c r="T289" s="322">
        <v>1158.4000000000001</v>
      </c>
      <c r="U289" s="322">
        <v>931.7</v>
      </c>
      <c r="V289" s="322">
        <v>1924.3</v>
      </c>
      <c r="W289" s="322">
        <v>1924.3</v>
      </c>
      <c r="X289" s="322">
        <v>1924.3</v>
      </c>
      <c r="Y289" s="322">
        <f>X289*1.053</f>
        <v>2026.2878999999998</v>
      </c>
      <c r="Z289" s="322">
        <f>Y289*1.053</f>
        <v>2133.6811586999997</v>
      </c>
      <c r="AA289" s="119">
        <f>T289+T264</f>
        <v>1158.4000000000001</v>
      </c>
    </row>
    <row r="290" spans="1:27" s="99" customFormat="1" ht="22.5">
      <c r="A290" s="515" t="s">
        <v>736</v>
      </c>
      <c r="B290" s="515" t="s">
        <v>815</v>
      </c>
      <c r="C290" s="515" t="s">
        <v>923</v>
      </c>
      <c r="D290" s="515"/>
      <c r="E290" s="564"/>
      <c r="F290" s="571" t="s">
        <v>384</v>
      </c>
      <c r="G290" s="268" t="s">
        <v>844</v>
      </c>
      <c r="H290" s="268">
        <v>462</v>
      </c>
      <c r="I290" s="268" t="s">
        <v>886</v>
      </c>
      <c r="J290" s="268" t="s">
        <v>904</v>
      </c>
      <c r="K290" s="384" t="s">
        <v>387</v>
      </c>
      <c r="L290" s="380">
        <v>611</v>
      </c>
      <c r="M290" s="322"/>
      <c r="N290" s="322"/>
      <c r="O290" s="322">
        <v>237.7</v>
      </c>
      <c r="P290" s="322">
        <v>183</v>
      </c>
      <c r="Q290" s="322">
        <v>150</v>
      </c>
      <c r="R290" s="322">
        <v>0</v>
      </c>
      <c r="S290" s="322">
        <v>0</v>
      </c>
      <c r="T290" s="324"/>
      <c r="U290" s="324"/>
      <c r="V290" s="390">
        <v>1558</v>
      </c>
      <c r="W290" s="324"/>
      <c r="X290" s="324"/>
      <c r="Y290" s="324"/>
      <c r="Z290" s="324"/>
      <c r="AA290" s="119"/>
    </row>
    <row r="291" spans="1:27" s="99" customFormat="1" ht="33.75">
      <c r="A291" s="516"/>
      <c r="B291" s="516"/>
      <c r="C291" s="516"/>
      <c r="D291" s="516"/>
      <c r="E291" s="565"/>
      <c r="F291" s="572"/>
      <c r="G291" s="268" t="s">
        <v>111</v>
      </c>
      <c r="H291" s="268">
        <v>467</v>
      </c>
      <c r="I291" s="268" t="s">
        <v>886</v>
      </c>
      <c r="J291" s="268" t="s">
        <v>904</v>
      </c>
      <c r="K291" s="384" t="s">
        <v>385</v>
      </c>
      <c r="L291" s="380">
        <v>612</v>
      </c>
      <c r="M291" s="322"/>
      <c r="N291" s="322"/>
      <c r="O291" s="322"/>
      <c r="P291" s="322"/>
      <c r="Q291" s="322"/>
      <c r="R291" s="322"/>
      <c r="S291" s="322"/>
      <c r="T291" s="322">
        <v>0</v>
      </c>
      <c r="U291" s="391">
        <v>123.8</v>
      </c>
      <c r="V291" s="326">
        <v>123.8</v>
      </c>
      <c r="W291" s="322"/>
      <c r="X291" s="322"/>
      <c r="Y291" s="322"/>
      <c r="Z291" s="322"/>
      <c r="AA291" s="114"/>
    </row>
    <row r="292" spans="1:27" s="99" customFormat="1" ht="22.5">
      <c r="A292" s="566" t="s">
        <v>736</v>
      </c>
      <c r="B292" s="566" t="s">
        <v>815</v>
      </c>
      <c r="C292" s="566" t="s">
        <v>3</v>
      </c>
      <c r="D292" s="566"/>
      <c r="E292" s="566"/>
      <c r="F292" s="573" t="s">
        <v>4</v>
      </c>
      <c r="G292" s="385" t="s">
        <v>117</v>
      </c>
      <c r="H292" s="385" t="s">
        <v>63</v>
      </c>
      <c r="I292" s="385" t="s">
        <v>886</v>
      </c>
      <c r="J292" s="385" t="s">
        <v>904</v>
      </c>
      <c r="K292" s="385" t="s">
        <v>390</v>
      </c>
      <c r="L292" s="386"/>
      <c r="M292" s="319"/>
      <c r="N292" s="312">
        <f>N295+N302</f>
        <v>1654.2</v>
      </c>
      <c r="O292" s="312">
        <f>O295+O302</f>
        <v>1375.5</v>
      </c>
      <c r="P292" s="312">
        <f>P295+P302</f>
        <v>1194.0999999999999</v>
      </c>
      <c r="Q292" s="312">
        <f>Q295+Q302+Q306</f>
        <v>1497.6660000000002</v>
      </c>
      <c r="R292" s="312">
        <f>R295+R302+R306+R307</f>
        <v>6693.8670000000002</v>
      </c>
      <c r="S292" s="312">
        <f>S295+S302+S307</f>
        <v>6664.3</v>
      </c>
      <c r="T292" s="324"/>
      <c r="U292" s="324"/>
      <c r="V292" s="324"/>
      <c r="W292" s="324"/>
      <c r="X292" s="324"/>
      <c r="Y292" s="324"/>
      <c r="Z292" s="324"/>
      <c r="AA292" s="114" t="s">
        <v>405</v>
      </c>
    </row>
    <row r="293" spans="1:27" s="99" customFormat="1" ht="42" customHeight="1">
      <c r="A293" s="567"/>
      <c r="B293" s="567"/>
      <c r="C293" s="567"/>
      <c r="D293" s="567"/>
      <c r="E293" s="567"/>
      <c r="F293" s="574"/>
      <c r="G293" s="385" t="s">
        <v>844</v>
      </c>
      <c r="H293" s="385">
        <v>462</v>
      </c>
      <c r="I293" s="385" t="s">
        <v>886</v>
      </c>
      <c r="J293" s="385" t="s">
        <v>904</v>
      </c>
      <c r="K293" s="385" t="s">
        <v>390</v>
      </c>
      <c r="L293" s="386"/>
      <c r="M293" s="319"/>
      <c r="N293" s="312"/>
      <c r="O293" s="312"/>
      <c r="P293" s="312"/>
      <c r="Q293" s="312"/>
      <c r="R293" s="312"/>
      <c r="S293" s="312"/>
      <c r="T293" s="312">
        <f>T296+T302</f>
        <v>2380.3000000000002</v>
      </c>
      <c r="U293" s="312">
        <f>U294+U296+U304+U309+U311+U313</f>
        <v>28759.699999999997</v>
      </c>
      <c r="V293" s="312">
        <f>V296+V303+V297+V294+V304+V311</f>
        <v>15314.3</v>
      </c>
      <c r="W293" s="312">
        <f>W296+W303+W297+W294+W304+W311</f>
        <v>1483.7</v>
      </c>
      <c r="X293" s="312">
        <f>X296+X303+X297+X294+X304+X311</f>
        <v>1483.7</v>
      </c>
      <c r="Y293" s="312">
        <f>Y296+Y303+Y297+Y294+Y304+Y311</f>
        <v>1562.3361</v>
      </c>
      <c r="Z293" s="312">
        <f>Z296+Z303+Z297+Z294+Z304+Z311</f>
        <v>1645.1399133</v>
      </c>
      <c r="AA293" s="114" t="s">
        <v>407</v>
      </c>
    </row>
    <row r="294" spans="1:27" s="99" customFormat="1" ht="21.6" customHeight="1">
      <c r="A294" s="515" t="s">
        <v>736</v>
      </c>
      <c r="B294" s="515" t="s">
        <v>815</v>
      </c>
      <c r="C294" s="515" t="s">
        <v>3</v>
      </c>
      <c r="D294" s="515" t="s">
        <v>737</v>
      </c>
      <c r="E294" s="515" t="s">
        <v>737</v>
      </c>
      <c r="F294" s="571" t="s">
        <v>391</v>
      </c>
      <c r="G294" s="268" t="s">
        <v>844</v>
      </c>
      <c r="H294" s="268">
        <v>462</v>
      </c>
      <c r="I294" s="268" t="s">
        <v>886</v>
      </c>
      <c r="J294" s="268" t="s">
        <v>904</v>
      </c>
      <c r="K294" s="384" t="s">
        <v>392</v>
      </c>
      <c r="L294" s="380" t="s">
        <v>393</v>
      </c>
      <c r="M294" s="322"/>
      <c r="N294" s="323"/>
      <c r="O294" s="323"/>
      <c r="P294" s="323"/>
      <c r="Q294" s="323"/>
      <c r="R294" s="323"/>
      <c r="S294" s="323"/>
      <c r="T294" s="323"/>
      <c r="U294" s="322">
        <v>1795.1</v>
      </c>
      <c r="V294" s="323">
        <v>2556.4</v>
      </c>
      <c r="W294" s="323"/>
      <c r="X294" s="323"/>
      <c r="Y294" s="323"/>
      <c r="Z294" s="323"/>
      <c r="AA294" s="114"/>
    </row>
    <row r="295" spans="1:27" s="99" customFormat="1" ht="33.75">
      <c r="A295" s="528"/>
      <c r="B295" s="528"/>
      <c r="C295" s="528"/>
      <c r="D295" s="528"/>
      <c r="E295" s="528"/>
      <c r="F295" s="605"/>
      <c r="G295" s="268" t="s">
        <v>117</v>
      </c>
      <c r="H295" s="268" t="s">
        <v>63</v>
      </c>
      <c r="I295" s="268" t="s">
        <v>886</v>
      </c>
      <c r="J295" s="268" t="s">
        <v>904</v>
      </c>
      <c r="K295" s="268" t="s">
        <v>394</v>
      </c>
      <c r="L295" s="380" t="s">
        <v>393</v>
      </c>
      <c r="M295" s="322"/>
      <c r="N295" s="322">
        <v>1466.2</v>
      </c>
      <c r="O295" s="322">
        <v>1375.5</v>
      </c>
      <c r="P295" s="322">
        <v>1194.0999999999999</v>
      </c>
      <c r="Q295" s="322">
        <v>1430.046</v>
      </c>
      <c r="R295" s="322">
        <v>2028.3</v>
      </c>
      <c r="S295" s="322">
        <v>1736.5</v>
      </c>
      <c r="T295" s="324"/>
      <c r="U295" s="324"/>
      <c r="V295" s="324"/>
      <c r="W295" s="324"/>
      <c r="X295" s="324"/>
      <c r="Y295" s="324"/>
      <c r="Z295" s="324"/>
      <c r="AA295" s="114"/>
    </row>
    <row r="296" spans="1:27" s="99" customFormat="1" ht="33.75">
      <c r="A296" s="528"/>
      <c r="B296" s="528"/>
      <c r="C296" s="528"/>
      <c r="D296" s="528"/>
      <c r="E296" s="528"/>
      <c r="F296" s="605"/>
      <c r="G296" s="268" t="s">
        <v>844</v>
      </c>
      <c r="H296" s="268">
        <v>462</v>
      </c>
      <c r="I296" s="268" t="s">
        <v>886</v>
      </c>
      <c r="J296" s="268" t="s">
        <v>904</v>
      </c>
      <c r="K296" s="268" t="s">
        <v>394</v>
      </c>
      <c r="L296" s="380" t="s">
        <v>393</v>
      </c>
      <c r="M296" s="322"/>
      <c r="N296" s="322"/>
      <c r="O296" s="322"/>
      <c r="P296" s="322"/>
      <c r="Q296" s="322"/>
      <c r="R296" s="322"/>
      <c r="S296" s="322"/>
      <c r="T296" s="322">
        <v>2380.3000000000002</v>
      </c>
      <c r="U296" s="322">
        <v>2623.7</v>
      </c>
      <c r="V296" s="322">
        <v>1483.7</v>
      </c>
      <c r="W296" s="322">
        <v>1483.7</v>
      </c>
      <c r="X296" s="322">
        <v>1483.7</v>
      </c>
      <c r="Y296" s="322">
        <f>X296*1.053</f>
        <v>1562.3361</v>
      </c>
      <c r="Z296" s="322">
        <f>Y296*1.053</f>
        <v>1645.1399133</v>
      </c>
      <c r="AA296" s="114"/>
    </row>
    <row r="297" spans="1:27" s="99" customFormat="1" ht="33.75">
      <c r="A297" s="528"/>
      <c r="B297" s="528"/>
      <c r="C297" s="528"/>
      <c r="D297" s="528"/>
      <c r="E297" s="528"/>
      <c r="F297" s="605"/>
      <c r="G297" s="268" t="s">
        <v>844</v>
      </c>
      <c r="H297" s="268">
        <v>462</v>
      </c>
      <c r="I297" s="268" t="s">
        <v>886</v>
      </c>
      <c r="J297" s="268" t="s">
        <v>904</v>
      </c>
      <c r="K297" s="268">
        <v>161361441</v>
      </c>
      <c r="L297" s="380" t="s">
        <v>393</v>
      </c>
      <c r="M297" s="322"/>
      <c r="N297" s="322"/>
      <c r="O297" s="322"/>
      <c r="P297" s="322"/>
      <c r="Q297" s="322"/>
      <c r="R297" s="322"/>
      <c r="S297" s="322"/>
      <c r="T297" s="322"/>
      <c r="U297" s="322"/>
      <c r="V297" s="326">
        <v>250.1</v>
      </c>
      <c r="W297" s="322"/>
      <c r="X297" s="322"/>
      <c r="Y297" s="322"/>
      <c r="Z297" s="322"/>
      <c r="AA297" s="114"/>
    </row>
    <row r="298" spans="1:27" s="99" customFormat="1" ht="33.75">
      <c r="A298" s="528"/>
      <c r="B298" s="528"/>
      <c r="C298" s="528"/>
      <c r="D298" s="528"/>
      <c r="E298" s="528"/>
      <c r="F298" s="605"/>
      <c r="G298" s="268" t="s">
        <v>844</v>
      </c>
      <c r="H298" s="268">
        <v>462</v>
      </c>
      <c r="I298" s="268" t="s">
        <v>886</v>
      </c>
      <c r="J298" s="268" t="s">
        <v>904</v>
      </c>
      <c r="K298" s="384" t="s">
        <v>396</v>
      </c>
      <c r="L298" s="380" t="s">
        <v>393</v>
      </c>
      <c r="M298" s="322"/>
      <c r="N298" s="322"/>
      <c r="O298" s="322"/>
      <c r="P298" s="322"/>
      <c r="Q298" s="322"/>
      <c r="R298" s="322"/>
      <c r="S298" s="322"/>
      <c r="T298" s="322">
        <v>825</v>
      </c>
      <c r="U298" s="322"/>
      <c r="V298" s="322"/>
      <c r="W298" s="322"/>
      <c r="X298" s="322"/>
      <c r="Y298" s="322"/>
      <c r="Z298" s="322"/>
      <c r="AA298" s="114"/>
    </row>
    <row r="299" spans="1:27" s="99" customFormat="1" ht="33.75">
      <c r="A299" s="528"/>
      <c r="B299" s="528"/>
      <c r="C299" s="528"/>
      <c r="D299" s="528"/>
      <c r="E299" s="528"/>
      <c r="F299" s="605"/>
      <c r="G299" s="268" t="s">
        <v>111</v>
      </c>
      <c r="H299" s="268">
        <v>467</v>
      </c>
      <c r="I299" s="268" t="s">
        <v>886</v>
      </c>
      <c r="J299" s="268" t="s">
        <v>904</v>
      </c>
      <c r="K299" s="384" t="s">
        <v>396</v>
      </c>
      <c r="L299" s="380" t="s">
        <v>393</v>
      </c>
      <c r="M299" s="322"/>
      <c r="N299" s="322"/>
      <c r="O299" s="322"/>
      <c r="P299" s="322"/>
      <c r="Q299" s="322"/>
      <c r="R299" s="322"/>
      <c r="S299" s="322"/>
      <c r="T299" s="322">
        <v>371.4</v>
      </c>
      <c r="U299" s="322"/>
      <c r="V299" s="322"/>
      <c r="W299" s="322"/>
      <c r="X299" s="322"/>
      <c r="Y299" s="322"/>
      <c r="Z299" s="322"/>
      <c r="AA299" s="114"/>
    </row>
    <row r="300" spans="1:27" s="99" customFormat="1" ht="33.75">
      <c r="A300" s="528"/>
      <c r="B300" s="528"/>
      <c r="C300" s="528"/>
      <c r="D300" s="528"/>
      <c r="E300" s="528"/>
      <c r="F300" s="605"/>
      <c r="G300" s="392" t="s">
        <v>111</v>
      </c>
      <c r="H300" s="268">
        <v>467</v>
      </c>
      <c r="I300" s="268" t="s">
        <v>886</v>
      </c>
      <c r="J300" s="268" t="s">
        <v>904</v>
      </c>
      <c r="K300" s="268" t="s">
        <v>394</v>
      </c>
      <c r="L300" s="380" t="s">
        <v>397</v>
      </c>
      <c r="M300" s="322"/>
      <c r="N300" s="322"/>
      <c r="O300" s="322"/>
      <c r="P300" s="322"/>
      <c r="Q300" s="322"/>
      <c r="R300" s="322"/>
      <c r="S300" s="322"/>
      <c r="T300" s="322"/>
      <c r="U300" s="391">
        <v>6.3</v>
      </c>
      <c r="V300" s="326">
        <v>2261</v>
      </c>
      <c r="W300" s="322"/>
      <c r="X300" s="322"/>
      <c r="Y300" s="322"/>
      <c r="Z300" s="322"/>
      <c r="AA300" s="114" t="s">
        <v>415</v>
      </c>
    </row>
    <row r="301" spans="1:27" s="99" customFormat="1" ht="33.75">
      <c r="A301" s="516"/>
      <c r="B301" s="516"/>
      <c r="C301" s="516"/>
      <c r="D301" s="516"/>
      <c r="E301" s="516"/>
      <c r="F301" s="572"/>
      <c r="G301" s="268" t="s">
        <v>844</v>
      </c>
      <c r="H301" s="268">
        <v>462</v>
      </c>
      <c r="I301" s="268" t="s">
        <v>886</v>
      </c>
      <c r="J301" s="268" t="s">
        <v>904</v>
      </c>
      <c r="K301" s="384" t="s">
        <v>398</v>
      </c>
      <c r="L301" s="380" t="s">
        <v>393</v>
      </c>
      <c r="M301" s="322"/>
      <c r="N301" s="322"/>
      <c r="O301" s="322"/>
      <c r="P301" s="322"/>
      <c r="Q301" s="322"/>
      <c r="R301" s="322"/>
      <c r="S301" s="322"/>
      <c r="T301" s="322">
        <v>89.6</v>
      </c>
      <c r="U301" s="322"/>
      <c r="V301" s="322"/>
      <c r="W301" s="322"/>
      <c r="X301" s="322"/>
      <c r="Y301" s="322"/>
      <c r="Z301" s="322"/>
      <c r="AA301" s="114"/>
    </row>
    <row r="302" spans="1:27" s="99" customFormat="1" ht="33.75" customHeight="1">
      <c r="A302" s="352" t="s">
        <v>736</v>
      </c>
      <c r="B302" s="352" t="s">
        <v>815</v>
      </c>
      <c r="C302" s="352" t="s">
        <v>3</v>
      </c>
      <c r="D302" s="352" t="s">
        <v>757</v>
      </c>
      <c r="E302" s="352">
        <v>1</v>
      </c>
      <c r="F302" s="557" t="s">
        <v>399</v>
      </c>
      <c r="G302" s="268" t="s">
        <v>117</v>
      </c>
      <c r="H302" s="268" t="s">
        <v>63</v>
      </c>
      <c r="I302" s="268" t="s">
        <v>886</v>
      </c>
      <c r="J302" s="268" t="s">
        <v>904</v>
      </c>
      <c r="K302" s="384" t="s">
        <v>400</v>
      </c>
      <c r="L302" s="380" t="s">
        <v>224</v>
      </c>
      <c r="M302" s="322"/>
      <c r="N302" s="322">
        <v>188</v>
      </c>
      <c r="O302" s="322"/>
      <c r="P302" s="322"/>
      <c r="Q302" s="322"/>
      <c r="R302" s="322"/>
      <c r="S302" s="322"/>
      <c r="T302" s="322"/>
      <c r="U302" s="322"/>
      <c r="V302" s="322"/>
      <c r="W302" s="322"/>
      <c r="X302" s="322"/>
      <c r="Y302" s="322"/>
      <c r="Z302" s="322"/>
      <c r="AA302" s="114" t="s">
        <v>417</v>
      </c>
    </row>
    <row r="303" spans="1:27" s="99" customFormat="1" ht="22.5">
      <c r="A303" s="354"/>
      <c r="B303" s="354"/>
      <c r="C303" s="354"/>
      <c r="D303" s="354"/>
      <c r="E303" s="354"/>
      <c r="F303" s="559"/>
      <c r="G303" s="268" t="s">
        <v>117</v>
      </c>
      <c r="H303" s="268">
        <v>462</v>
      </c>
      <c r="I303" s="268" t="s">
        <v>886</v>
      </c>
      <c r="J303" s="268" t="s">
        <v>904</v>
      </c>
      <c r="K303" s="384" t="s">
        <v>400</v>
      </c>
      <c r="L303" s="380" t="s">
        <v>224</v>
      </c>
      <c r="M303" s="322"/>
      <c r="N303" s="322"/>
      <c r="O303" s="322"/>
      <c r="P303" s="322"/>
      <c r="Q303" s="322"/>
      <c r="R303" s="322"/>
      <c r="S303" s="322"/>
      <c r="T303" s="322">
        <v>6951.3</v>
      </c>
      <c r="U303" s="322"/>
      <c r="V303" s="322"/>
      <c r="W303" s="322"/>
      <c r="X303" s="322"/>
      <c r="Y303" s="322"/>
      <c r="Z303" s="322"/>
      <c r="AA303" s="114"/>
    </row>
    <row r="304" spans="1:27" s="99" customFormat="1" ht="45">
      <c r="A304" s="352" t="s">
        <v>736</v>
      </c>
      <c r="B304" s="352" t="s">
        <v>815</v>
      </c>
      <c r="C304" s="352" t="s">
        <v>3</v>
      </c>
      <c r="D304" s="354"/>
      <c r="E304" s="354"/>
      <c r="F304" s="393" t="s">
        <v>401</v>
      </c>
      <c r="G304" s="268" t="s">
        <v>117</v>
      </c>
      <c r="H304" s="268">
        <v>462</v>
      </c>
      <c r="I304" s="268" t="s">
        <v>886</v>
      </c>
      <c r="J304" s="268" t="s">
        <v>904</v>
      </c>
      <c r="K304" s="384" t="s">
        <v>402</v>
      </c>
      <c r="L304" s="380" t="s">
        <v>224</v>
      </c>
      <c r="M304" s="322"/>
      <c r="N304" s="322"/>
      <c r="O304" s="322"/>
      <c r="P304" s="322"/>
      <c r="Q304" s="322"/>
      <c r="R304" s="322"/>
      <c r="S304" s="322"/>
      <c r="T304" s="322"/>
      <c r="U304" s="322">
        <v>9880</v>
      </c>
      <c r="V304" s="322">
        <f>11024.1</f>
        <v>11024.1</v>
      </c>
      <c r="W304" s="322"/>
      <c r="X304" s="322"/>
      <c r="Y304" s="322"/>
      <c r="Z304" s="322"/>
      <c r="AA304" s="114"/>
    </row>
    <row r="305" spans="1:32" s="99" customFormat="1" ht="33.75">
      <c r="A305" s="352" t="s">
        <v>736</v>
      </c>
      <c r="B305" s="352" t="s">
        <v>815</v>
      </c>
      <c r="C305" s="352" t="s">
        <v>3</v>
      </c>
      <c r="D305" s="354"/>
      <c r="E305" s="354"/>
      <c r="F305" s="393" t="s">
        <v>155</v>
      </c>
      <c r="G305" s="268" t="s">
        <v>111</v>
      </c>
      <c r="H305" s="268">
        <v>467</v>
      </c>
      <c r="I305" s="268" t="s">
        <v>886</v>
      </c>
      <c r="J305" s="268" t="s">
        <v>904</v>
      </c>
      <c r="K305" s="384" t="s">
        <v>403</v>
      </c>
      <c r="L305" s="380">
        <v>612</v>
      </c>
      <c r="M305" s="322"/>
      <c r="N305" s="322"/>
      <c r="O305" s="322"/>
      <c r="P305" s="322"/>
      <c r="Q305" s="322"/>
      <c r="R305" s="322"/>
      <c r="S305" s="322"/>
      <c r="T305" s="322">
        <v>12</v>
      </c>
      <c r="U305" s="322"/>
      <c r="V305" s="322"/>
      <c r="W305" s="322"/>
      <c r="X305" s="322"/>
      <c r="Y305" s="322"/>
      <c r="Z305" s="322"/>
      <c r="AA305" s="114"/>
      <c r="AE305" s="105">
        <f>U307+U311</f>
        <v>702.6</v>
      </c>
      <c r="AF305" s="105">
        <f>U309+U313</f>
        <v>13758.3</v>
      </c>
    </row>
    <row r="306" spans="1:32" s="99" customFormat="1" ht="35.25" customHeight="1">
      <c r="A306" s="209" t="s">
        <v>736</v>
      </c>
      <c r="B306" s="209" t="s">
        <v>815</v>
      </c>
      <c r="C306" s="209" t="s">
        <v>3</v>
      </c>
      <c r="D306" s="209" t="s">
        <v>780</v>
      </c>
      <c r="E306" s="380">
        <v>1</v>
      </c>
      <c r="F306" s="199" t="s">
        <v>9</v>
      </c>
      <c r="G306" s="268" t="s">
        <v>117</v>
      </c>
      <c r="H306" s="268">
        <v>458</v>
      </c>
      <c r="I306" s="384" t="s">
        <v>886</v>
      </c>
      <c r="J306" s="384" t="s">
        <v>904</v>
      </c>
      <c r="K306" s="384" t="s">
        <v>404</v>
      </c>
      <c r="L306" s="387" t="s">
        <v>224</v>
      </c>
      <c r="M306" s="322"/>
      <c r="N306" s="322"/>
      <c r="O306" s="322"/>
      <c r="P306" s="322">
        <v>196</v>
      </c>
      <c r="Q306" s="322">
        <v>67.62</v>
      </c>
      <c r="R306" s="322">
        <v>18.899999999999999</v>
      </c>
      <c r="S306" s="322"/>
      <c r="T306" s="322"/>
      <c r="U306" s="322"/>
      <c r="V306" s="322"/>
      <c r="W306" s="322"/>
      <c r="X306" s="322"/>
      <c r="Y306" s="322"/>
      <c r="Z306" s="322"/>
      <c r="AA306" s="119">
        <f>T307+T311</f>
        <v>0</v>
      </c>
      <c r="AB306" s="99" t="s">
        <v>225</v>
      </c>
      <c r="AC306" s="105">
        <f>S306+S310</f>
        <v>0</v>
      </c>
      <c r="AE306" s="105">
        <f>T307+T311</f>
        <v>0</v>
      </c>
      <c r="AF306" s="105">
        <f>T309+T313</f>
        <v>15077.999999999998</v>
      </c>
    </row>
    <row r="307" spans="1:32" s="99" customFormat="1" ht="25.5" customHeight="1">
      <c r="A307" s="209" t="s">
        <v>736</v>
      </c>
      <c r="B307" s="209" t="s">
        <v>815</v>
      </c>
      <c r="C307" s="209" t="s">
        <v>3</v>
      </c>
      <c r="D307" s="209" t="s">
        <v>803</v>
      </c>
      <c r="E307" s="380">
        <v>1</v>
      </c>
      <c r="F307" s="199" t="s">
        <v>17</v>
      </c>
      <c r="G307" s="268" t="s">
        <v>117</v>
      </c>
      <c r="H307" s="268">
        <v>458</v>
      </c>
      <c r="I307" s="384" t="s">
        <v>886</v>
      </c>
      <c r="J307" s="384" t="s">
        <v>904</v>
      </c>
      <c r="K307" s="384" t="s">
        <v>406</v>
      </c>
      <c r="L307" s="387" t="s">
        <v>224</v>
      </c>
      <c r="M307" s="322"/>
      <c r="N307" s="322"/>
      <c r="O307" s="322"/>
      <c r="P307" s="322"/>
      <c r="Q307" s="322"/>
      <c r="R307" s="322">
        <v>4646.6670000000004</v>
      </c>
      <c r="S307" s="322">
        <v>4927.8</v>
      </c>
      <c r="T307" s="322"/>
      <c r="U307" s="322"/>
      <c r="V307" s="322"/>
      <c r="W307" s="322"/>
      <c r="X307" s="322"/>
      <c r="Y307" s="322"/>
      <c r="Z307" s="322"/>
      <c r="AA307" s="119">
        <f>S306+S310</f>
        <v>0</v>
      </c>
      <c r="AB307" s="99" t="e">
        <f>U307/AA307*S306</f>
        <v>#DIV/0!</v>
      </c>
      <c r="AC307" s="105">
        <f>U307+U311</f>
        <v>702.6</v>
      </c>
      <c r="AE307" s="99">
        <f>1893.8/2384.2*T307</f>
        <v>0</v>
      </c>
      <c r="AF307" s="99">
        <f>19.3/27.2*T309</f>
        <v>307.52279411764704</v>
      </c>
    </row>
    <row r="308" spans="1:32" s="99" customFormat="1" ht="32.25" customHeight="1">
      <c r="A308" s="350" t="s">
        <v>736</v>
      </c>
      <c r="B308" s="350" t="s">
        <v>815</v>
      </c>
      <c r="C308" s="350" t="s">
        <v>3</v>
      </c>
      <c r="D308" s="350" t="s">
        <v>810</v>
      </c>
      <c r="E308" s="350">
        <v>1</v>
      </c>
      <c r="F308" s="557" t="s">
        <v>13</v>
      </c>
      <c r="G308" s="268" t="s">
        <v>566</v>
      </c>
      <c r="H308" s="268">
        <v>463</v>
      </c>
      <c r="I308" s="384" t="s">
        <v>886</v>
      </c>
      <c r="J308" s="384" t="s">
        <v>904</v>
      </c>
      <c r="K308" s="384" t="s">
        <v>408</v>
      </c>
      <c r="L308" s="387" t="s">
        <v>129</v>
      </c>
      <c r="M308" s="322"/>
      <c r="N308" s="322"/>
      <c r="O308" s="322"/>
      <c r="P308" s="322">
        <v>132.80000000000001</v>
      </c>
      <c r="Q308" s="322"/>
      <c r="R308" s="322"/>
      <c r="S308" s="322"/>
      <c r="T308" s="322"/>
      <c r="U308" s="322"/>
      <c r="V308" s="322"/>
      <c r="W308" s="322"/>
      <c r="X308" s="322"/>
      <c r="Y308" s="322"/>
      <c r="Z308" s="322"/>
      <c r="AA308" s="119">
        <f>T307+T311</f>
        <v>0</v>
      </c>
      <c r="AB308" s="99" t="s">
        <v>231</v>
      </c>
      <c r="AC308" s="105">
        <f>S308+S312</f>
        <v>13038.300000000001</v>
      </c>
    </row>
    <row r="309" spans="1:32" s="99" customFormat="1" ht="32.25" customHeight="1">
      <c r="A309" s="347"/>
      <c r="B309" s="347"/>
      <c r="C309" s="347"/>
      <c r="D309" s="347"/>
      <c r="E309" s="347"/>
      <c r="F309" s="559"/>
      <c r="G309" s="268" t="s">
        <v>117</v>
      </c>
      <c r="H309" s="268">
        <v>462</v>
      </c>
      <c r="I309" s="384" t="s">
        <v>886</v>
      </c>
      <c r="J309" s="384" t="s">
        <v>904</v>
      </c>
      <c r="K309" s="384" t="s">
        <v>408</v>
      </c>
      <c r="L309" s="387" t="s">
        <v>129</v>
      </c>
      <c r="M309" s="322"/>
      <c r="N309" s="322"/>
      <c r="O309" s="322"/>
      <c r="P309" s="322"/>
      <c r="Q309" s="322"/>
      <c r="R309" s="322"/>
      <c r="S309" s="322"/>
      <c r="T309" s="322">
        <v>433.4</v>
      </c>
      <c r="U309" s="322">
        <v>144.80000000000001</v>
      </c>
      <c r="V309" s="322"/>
      <c r="W309" s="322"/>
      <c r="X309" s="322"/>
      <c r="Y309" s="322"/>
      <c r="Z309" s="322"/>
      <c r="AA309" s="119">
        <f>U307+U311</f>
        <v>702.6</v>
      </c>
      <c r="AC309" s="105"/>
    </row>
    <row r="310" spans="1:32" s="99" customFormat="1" ht="36" customHeight="1">
      <c r="A310" s="515" t="s">
        <v>736</v>
      </c>
      <c r="B310" s="515" t="s">
        <v>815</v>
      </c>
      <c r="C310" s="515" t="s">
        <v>3</v>
      </c>
      <c r="D310" s="515"/>
      <c r="E310" s="515"/>
      <c r="F310" s="529" t="s">
        <v>192</v>
      </c>
      <c r="G310" s="268" t="s">
        <v>566</v>
      </c>
      <c r="H310" s="268">
        <v>467</v>
      </c>
      <c r="I310" s="384" t="s">
        <v>886</v>
      </c>
      <c r="J310" s="384" t="s">
        <v>904</v>
      </c>
      <c r="K310" s="384" t="s">
        <v>409</v>
      </c>
      <c r="L310" s="387" t="s">
        <v>135</v>
      </c>
      <c r="M310" s="322"/>
      <c r="N310" s="322"/>
      <c r="O310" s="322"/>
      <c r="P310" s="322"/>
      <c r="Q310" s="322"/>
      <c r="R310" s="322"/>
      <c r="S310" s="322"/>
      <c r="T310" s="322">
        <v>35</v>
      </c>
      <c r="U310" s="322"/>
      <c r="V310" s="322"/>
      <c r="W310" s="322"/>
      <c r="X310" s="322"/>
      <c r="Y310" s="322"/>
      <c r="Z310" s="322"/>
      <c r="AA310" s="119"/>
      <c r="AB310" s="99" t="s">
        <v>421</v>
      </c>
    </row>
    <row r="311" spans="1:32" s="99" customFormat="1" ht="48" customHeight="1">
      <c r="A311" s="516"/>
      <c r="B311" s="516"/>
      <c r="C311" s="516"/>
      <c r="D311" s="516"/>
      <c r="E311" s="516"/>
      <c r="F311" s="530"/>
      <c r="G311" s="268" t="s">
        <v>117</v>
      </c>
      <c r="H311" s="268">
        <v>462</v>
      </c>
      <c r="I311" s="268" t="s">
        <v>886</v>
      </c>
      <c r="J311" s="268" t="s">
        <v>904</v>
      </c>
      <c r="K311" s="384" t="s">
        <v>409</v>
      </c>
      <c r="L311" s="380" t="s">
        <v>224</v>
      </c>
      <c r="M311" s="322"/>
      <c r="N311" s="322"/>
      <c r="O311" s="322"/>
      <c r="P311" s="322"/>
      <c r="Q311" s="322"/>
      <c r="R311" s="322"/>
      <c r="S311" s="322"/>
      <c r="T311" s="322"/>
      <c r="U311" s="322">
        <v>702.6</v>
      </c>
      <c r="V311" s="322"/>
      <c r="W311" s="322"/>
      <c r="X311" s="322"/>
      <c r="Y311" s="322"/>
      <c r="Z311" s="322"/>
      <c r="AA311" s="119"/>
      <c r="AB311" s="99" t="e">
        <f>U307/AA307*S310</f>
        <v>#DIV/0!</v>
      </c>
      <c r="AE311" s="99">
        <f>1893.8/2384.2*T311</f>
        <v>0</v>
      </c>
      <c r="AF311" s="99">
        <f>19.3/27.2*10.7</f>
        <v>7.5922794117647054</v>
      </c>
    </row>
    <row r="312" spans="1:32" s="99" customFormat="1" ht="47.25" customHeight="1">
      <c r="A312" s="564" t="s">
        <v>736</v>
      </c>
      <c r="B312" s="564" t="s">
        <v>815</v>
      </c>
      <c r="C312" s="564" t="s">
        <v>19</v>
      </c>
      <c r="D312" s="564"/>
      <c r="E312" s="564"/>
      <c r="F312" s="571" t="s">
        <v>410</v>
      </c>
      <c r="G312" s="268" t="s">
        <v>117</v>
      </c>
      <c r="H312" s="268" t="s">
        <v>63</v>
      </c>
      <c r="I312" s="268" t="s">
        <v>886</v>
      </c>
      <c r="J312" s="268" t="s">
        <v>904</v>
      </c>
      <c r="K312" s="268" t="s">
        <v>411</v>
      </c>
      <c r="L312" s="380"/>
      <c r="M312" s="322"/>
      <c r="N312" s="323">
        <f>N314</f>
        <v>12209.7</v>
      </c>
      <c r="O312" s="323">
        <f>O314+O316</f>
        <v>13073.599999999999</v>
      </c>
      <c r="P312" s="323">
        <f>P314+P316</f>
        <v>12957.9</v>
      </c>
      <c r="Q312" s="323">
        <f>Q314+Q316</f>
        <v>13343.674999999999</v>
      </c>
      <c r="R312" s="323">
        <f>R314+R316</f>
        <v>12921.883</v>
      </c>
      <c r="S312" s="323">
        <f>S314+S316</f>
        <v>13038.300000000001</v>
      </c>
      <c r="T312" s="324"/>
      <c r="U312" s="324"/>
      <c r="V312" s="324"/>
      <c r="W312" s="324"/>
      <c r="X312" s="324"/>
      <c r="Y312" s="324"/>
      <c r="Z312" s="324"/>
      <c r="AA312" s="114"/>
      <c r="AB312" s="99" t="s">
        <v>423</v>
      </c>
    </row>
    <row r="313" spans="1:32" s="99" customFormat="1" ht="33.75" customHeight="1">
      <c r="A313" s="565"/>
      <c r="B313" s="565"/>
      <c r="C313" s="565"/>
      <c r="D313" s="565"/>
      <c r="E313" s="565"/>
      <c r="F313" s="572"/>
      <c r="G313" s="268" t="s">
        <v>844</v>
      </c>
      <c r="H313" s="268">
        <v>462</v>
      </c>
      <c r="I313" s="268" t="s">
        <v>886</v>
      </c>
      <c r="J313" s="268" t="s">
        <v>904</v>
      </c>
      <c r="K313" s="268" t="s">
        <v>411</v>
      </c>
      <c r="L313" s="380"/>
      <c r="M313" s="322"/>
      <c r="N313" s="323"/>
      <c r="O313" s="323"/>
      <c r="P313" s="323"/>
      <c r="Q313" s="323"/>
      <c r="R313" s="323"/>
      <c r="S313" s="323"/>
      <c r="T313" s="323">
        <f t="shared" ref="T313:Z313" si="42">T315+T317</f>
        <v>14644.599999999999</v>
      </c>
      <c r="U313" s="323">
        <f t="shared" si="42"/>
        <v>13613.5</v>
      </c>
      <c r="V313" s="323">
        <f t="shared" si="42"/>
        <v>12432.5</v>
      </c>
      <c r="W313" s="323">
        <f t="shared" si="42"/>
        <v>13607.5</v>
      </c>
      <c r="X313" s="323">
        <f t="shared" si="42"/>
        <v>13607.5</v>
      </c>
      <c r="Y313" s="323">
        <f t="shared" si="42"/>
        <v>13607.5</v>
      </c>
      <c r="Z313" s="323">
        <f t="shared" si="42"/>
        <v>13607.5</v>
      </c>
      <c r="AA313" s="114"/>
    </row>
    <row r="314" spans="1:32" s="99" customFormat="1" ht="45.75" customHeight="1">
      <c r="A314" s="564" t="s">
        <v>736</v>
      </c>
      <c r="B314" s="564" t="s">
        <v>815</v>
      </c>
      <c r="C314" s="564" t="s">
        <v>19</v>
      </c>
      <c r="D314" s="564">
        <v>1</v>
      </c>
      <c r="E314" s="564">
        <v>1</v>
      </c>
      <c r="F314" s="571" t="s">
        <v>412</v>
      </c>
      <c r="G314" s="268" t="s">
        <v>117</v>
      </c>
      <c r="H314" s="268" t="s">
        <v>63</v>
      </c>
      <c r="I314" s="268" t="s">
        <v>886</v>
      </c>
      <c r="J314" s="268" t="s">
        <v>904</v>
      </c>
      <c r="K314" s="268" t="s">
        <v>413</v>
      </c>
      <c r="L314" s="380" t="s">
        <v>414</v>
      </c>
      <c r="M314" s="322"/>
      <c r="N314" s="322">
        <v>12209.7</v>
      </c>
      <c r="O314" s="322">
        <v>12950.3</v>
      </c>
      <c r="P314" s="322">
        <v>12834.4</v>
      </c>
      <c r="Q314" s="322">
        <v>13174.175999999999</v>
      </c>
      <c r="R314" s="322">
        <v>12774.583000000001</v>
      </c>
      <c r="S314" s="322">
        <v>12874.7</v>
      </c>
      <c r="T314" s="324"/>
      <c r="U314" s="324"/>
      <c r="V314" s="324"/>
      <c r="W314" s="324"/>
      <c r="X314" s="324"/>
      <c r="Y314" s="324"/>
      <c r="Z314" s="324"/>
      <c r="AA314" s="115" t="s">
        <v>426</v>
      </c>
    </row>
    <row r="315" spans="1:32" s="99" customFormat="1" ht="33.75">
      <c r="A315" s="565"/>
      <c r="B315" s="565"/>
      <c r="C315" s="565"/>
      <c r="D315" s="565"/>
      <c r="E315" s="565"/>
      <c r="F315" s="572"/>
      <c r="G315" s="268" t="s">
        <v>844</v>
      </c>
      <c r="H315" s="268">
        <v>462</v>
      </c>
      <c r="I315" s="268" t="s">
        <v>886</v>
      </c>
      <c r="J315" s="268" t="s">
        <v>904</v>
      </c>
      <c r="K315" s="268" t="s">
        <v>413</v>
      </c>
      <c r="L315" s="380" t="s">
        <v>414</v>
      </c>
      <c r="M315" s="322"/>
      <c r="N315" s="322"/>
      <c r="O315" s="322"/>
      <c r="P315" s="322"/>
      <c r="Q315" s="322"/>
      <c r="R315" s="322"/>
      <c r="S315" s="322"/>
      <c r="T315" s="322">
        <v>14431.8</v>
      </c>
      <c r="U315" s="322">
        <v>13392.1</v>
      </c>
      <c r="V315" s="326">
        <f>12432.5</f>
        <v>12432.5</v>
      </c>
      <c r="W315" s="322">
        <f>12375.1+711+521.4</f>
        <v>13607.5</v>
      </c>
      <c r="X315" s="322">
        <f>12375.1+711+521.4</f>
        <v>13607.5</v>
      </c>
      <c r="Y315" s="322">
        <f>12375.1+711+521.4</f>
        <v>13607.5</v>
      </c>
      <c r="Z315" s="322">
        <f>12375.1+711+521.4</f>
        <v>13607.5</v>
      </c>
      <c r="AA315" s="115"/>
    </row>
    <row r="316" spans="1:32" s="99" customFormat="1" ht="68.25" customHeight="1">
      <c r="A316" s="564" t="s">
        <v>736</v>
      </c>
      <c r="B316" s="564" t="s">
        <v>815</v>
      </c>
      <c r="C316" s="564" t="s">
        <v>19</v>
      </c>
      <c r="D316" s="564">
        <v>2</v>
      </c>
      <c r="E316" s="564">
        <v>1</v>
      </c>
      <c r="F316" s="571" t="s">
        <v>412</v>
      </c>
      <c r="G316" s="268" t="s">
        <v>566</v>
      </c>
      <c r="H316" s="268">
        <v>463</v>
      </c>
      <c r="I316" s="268" t="s">
        <v>886</v>
      </c>
      <c r="J316" s="268" t="s">
        <v>904</v>
      </c>
      <c r="K316" s="268" t="s">
        <v>413</v>
      </c>
      <c r="L316" s="380" t="s">
        <v>416</v>
      </c>
      <c r="M316" s="322"/>
      <c r="N316" s="322"/>
      <c r="O316" s="322">
        <v>123.3</v>
      </c>
      <c r="P316" s="322">
        <v>123.5</v>
      </c>
      <c r="Q316" s="322">
        <v>169.499</v>
      </c>
      <c r="R316" s="322">
        <v>147.30000000000001</v>
      </c>
      <c r="S316" s="322">
        <v>163.6</v>
      </c>
      <c r="T316" s="324"/>
      <c r="U316" s="324"/>
      <c r="V316" s="324"/>
      <c r="W316" s="324"/>
      <c r="X316" s="324"/>
      <c r="Y316" s="322"/>
      <c r="Z316" s="322"/>
      <c r="AA316" s="114" t="s">
        <v>429</v>
      </c>
    </row>
    <row r="317" spans="1:32" s="99" customFormat="1" ht="33.75">
      <c r="A317" s="565"/>
      <c r="B317" s="565"/>
      <c r="C317" s="565"/>
      <c r="D317" s="565"/>
      <c r="E317" s="565"/>
      <c r="F317" s="572"/>
      <c r="G317" s="268" t="s">
        <v>111</v>
      </c>
      <c r="H317" s="268">
        <v>467</v>
      </c>
      <c r="I317" s="268" t="s">
        <v>886</v>
      </c>
      <c r="J317" s="268" t="s">
        <v>904</v>
      </c>
      <c r="K317" s="268" t="s">
        <v>413</v>
      </c>
      <c r="L317" s="380" t="s">
        <v>416</v>
      </c>
      <c r="M317" s="322"/>
      <c r="N317" s="322"/>
      <c r="O317" s="322"/>
      <c r="P317" s="322"/>
      <c r="Q317" s="322"/>
      <c r="R317" s="322"/>
      <c r="S317" s="322"/>
      <c r="T317" s="322">
        <v>212.8</v>
      </c>
      <c r="U317" s="322">
        <v>221.4</v>
      </c>
      <c r="V317" s="322"/>
      <c r="W317" s="322"/>
      <c r="X317" s="322"/>
      <c r="Y317" s="322"/>
      <c r="Z317" s="322"/>
      <c r="AA317" s="114"/>
    </row>
    <row r="318" spans="1:32" s="99" customFormat="1" ht="32.25" customHeight="1">
      <c r="A318" s="566" t="s">
        <v>736</v>
      </c>
      <c r="B318" s="566" t="s">
        <v>815</v>
      </c>
      <c r="C318" s="566" t="s">
        <v>23</v>
      </c>
      <c r="D318" s="566"/>
      <c r="E318" s="566"/>
      <c r="F318" s="573" t="s">
        <v>418</v>
      </c>
      <c r="G318" s="385" t="s">
        <v>117</v>
      </c>
      <c r="H318" s="385" t="s">
        <v>63</v>
      </c>
      <c r="I318" s="385" t="s">
        <v>908</v>
      </c>
      <c r="J318" s="385" t="s">
        <v>865</v>
      </c>
      <c r="K318" s="385" t="s">
        <v>419</v>
      </c>
      <c r="L318" s="386"/>
      <c r="M318" s="312">
        <f>M338+M328+M330+M334</f>
        <v>3431.7000000000003</v>
      </c>
      <c r="N318" s="312">
        <f>N338+N328+N330+N334</f>
        <v>3894.9000000000005</v>
      </c>
      <c r="O318" s="312">
        <f>O338+O328+O330+O334</f>
        <v>3480.4</v>
      </c>
      <c r="P318" s="312">
        <f>P338+P328+P330+P334</f>
        <v>3882.9999999999995</v>
      </c>
      <c r="Q318" s="312">
        <f>Q338+Q328+Q330+Q334+Q336</f>
        <v>1671.989</v>
      </c>
      <c r="R318" s="312">
        <f>R338+R328+R330+R334+R336</f>
        <v>1373.8833999999999</v>
      </c>
      <c r="S318" s="312">
        <f>S328+S330+S332+S334+S336+S338+S320+S322+S324+S326</f>
        <v>4504.9000000000005</v>
      </c>
      <c r="T318" s="324"/>
      <c r="U318" s="324"/>
      <c r="V318" s="324"/>
      <c r="W318" s="324"/>
      <c r="X318" s="324"/>
      <c r="Y318" s="324"/>
      <c r="Z318" s="324"/>
      <c r="AA318" s="114" t="s">
        <v>431</v>
      </c>
    </row>
    <row r="319" spans="1:32" s="99" customFormat="1" ht="60.75" customHeight="1">
      <c r="A319" s="567"/>
      <c r="B319" s="567"/>
      <c r="C319" s="567"/>
      <c r="D319" s="567"/>
      <c r="E319" s="567"/>
      <c r="F319" s="574"/>
      <c r="G319" s="385" t="s">
        <v>844</v>
      </c>
      <c r="H319" s="385">
        <v>462</v>
      </c>
      <c r="I319" s="385" t="s">
        <v>908</v>
      </c>
      <c r="J319" s="385" t="s">
        <v>865</v>
      </c>
      <c r="K319" s="385" t="s">
        <v>419</v>
      </c>
      <c r="L319" s="386"/>
      <c r="M319" s="312"/>
      <c r="N319" s="312"/>
      <c r="O319" s="312"/>
      <c r="P319" s="312"/>
      <c r="Q319" s="312"/>
      <c r="R319" s="312"/>
      <c r="S319" s="312"/>
      <c r="T319" s="312">
        <f t="shared" ref="T319:Z319" si="43">T321+T323+T325+T327+T329+T331+T333+T335+T337+T339+T340</f>
        <v>4068.7</v>
      </c>
      <c r="U319" s="312">
        <f t="shared" si="43"/>
        <v>3528.7999999999997</v>
      </c>
      <c r="V319" s="312">
        <f t="shared" si="43"/>
        <v>1735.2</v>
      </c>
      <c r="W319" s="312">
        <f t="shared" si="43"/>
        <v>1797.3</v>
      </c>
      <c r="X319" s="312">
        <f t="shared" si="43"/>
        <v>1263.3000000000002</v>
      </c>
      <c r="Y319" s="312">
        <f t="shared" si="43"/>
        <v>1775.8053</v>
      </c>
      <c r="Z319" s="312">
        <f t="shared" si="43"/>
        <v>1831.6198808999998</v>
      </c>
      <c r="AA319" s="114"/>
    </row>
    <row r="320" spans="1:32" s="99" customFormat="1" ht="63.75" customHeight="1">
      <c r="A320" s="515" t="s">
        <v>736</v>
      </c>
      <c r="B320" s="515" t="s">
        <v>757</v>
      </c>
      <c r="C320" s="515" t="s">
        <v>869</v>
      </c>
      <c r="D320" s="515" t="s">
        <v>737</v>
      </c>
      <c r="E320" s="515" t="s">
        <v>757</v>
      </c>
      <c r="F320" s="571" t="s">
        <v>526</v>
      </c>
      <c r="G320" s="268" t="s">
        <v>117</v>
      </c>
      <c r="H320" s="268">
        <v>458</v>
      </c>
      <c r="I320" s="268">
        <v>10</v>
      </c>
      <c r="J320" s="268" t="s">
        <v>865</v>
      </c>
      <c r="K320" s="384" t="s">
        <v>223</v>
      </c>
      <c r="L320" s="380" t="s">
        <v>420</v>
      </c>
      <c r="M320" s="323"/>
      <c r="N320" s="323"/>
      <c r="O320" s="323"/>
      <c r="P320" s="323"/>
      <c r="Q320" s="323">
        <v>0</v>
      </c>
      <c r="R320" s="323">
        <v>0</v>
      </c>
      <c r="S320" s="322">
        <v>1786.8</v>
      </c>
      <c r="T320" s="324"/>
      <c r="U320" s="324"/>
      <c r="V320" s="324"/>
      <c r="W320" s="324"/>
      <c r="X320" s="324"/>
      <c r="Y320" s="324"/>
      <c r="Z320" s="324"/>
      <c r="AA320" s="114"/>
    </row>
    <row r="321" spans="1:27" s="99" customFormat="1" ht="22.5">
      <c r="A321" s="516"/>
      <c r="B321" s="516"/>
      <c r="C321" s="516"/>
      <c r="D321" s="516"/>
      <c r="E321" s="516"/>
      <c r="F321" s="572"/>
      <c r="G321" s="268" t="s">
        <v>117</v>
      </c>
      <c r="H321" s="268">
        <v>462</v>
      </c>
      <c r="I321" s="268">
        <v>10</v>
      </c>
      <c r="J321" s="268" t="s">
        <v>865</v>
      </c>
      <c r="K321" s="384" t="s">
        <v>223</v>
      </c>
      <c r="L321" s="380" t="s">
        <v>420</v>
      </c>
      <c r="M321" s="323"/>
      <c r="N321" s="323"/>
      <c r="O321" s="323"/>
      <c r="P321" s="323"/>
      <c r="Q321" s="323"/>
      <c r="R321" s="323"/>
      <c r="S321" s="322"/>
      <c r="T321" s="322">
        <v>1535.4</v>
      </c>
      <c r="U321" s="322">
        <v>1155.0999999999999</v>
      </c>
      <c r="V321" s="322"/>
      <c r="W321" s="322"/>
      <c r="X321" s="322"/>
      <c r="Y321" s="322"/>
      <c r="Z321" s="322"/>
      <c r="AA321" s="114"/>
    </row>
    <row r="322" spans="1:27" s="99" customFormat="1" ht="60.75" customHeight="1">
      <c r="A322" s="515" t="s">
        <v>736</v>
      </c>
      <c r="B322" s="515" t="s">
        <v>757</v>
      </c>
      <c r="C322" s="515" t="s">
        <v>869</v>
      </c>
      <c r="D322" s="515" t="s">
        <v>737</v>
      </c>
      <c r="E322" s="515" t="s">
        <v>757</v>
      </c>
      <c r="F322" s="571" t="s">
        <v>526</v>
      </c>
      <c r="G322" s="268" t="s">
        <v>117</v>
      </c>
      <c r="H322" s="268">
        <v>458</v>
      </c>
      <c r="I322" s="268">
        <v>10</v>
      </c>
      <c r="J322" s="268" t="s">
        <v>865</v>
      </c>
      <c r="K322" s="384" t="s">
        <v>230</v>
      </c>
      <c r="L322" s="380" t="s">
        <v>420</v>
      </c>
      <c r="M322" s="323"/>
      <c r="N322" s="323"/>
      <c r="O322" s="323"/>
      <c r="P322" s="323"/>
      <c r="Q322" s="323">
        <v>0</v>
      </c>
      <c r="R322" s="323">
        <v>0</v>
      </c>
      <c r="S322" s="323">
        <v>17.399999999999999</v>
      </c>
      <c r="T322" s="324"/>
      <c r="U322" s="324"/>
      <c r="V322" s="324"/>
      <c r="W322" s="324"/>
      <c r="X322" s="324"/>
      <c r="Y322" s="324"/>
      <c r="Z322" s="324"/>
      <c r="AA322" s="114" t="s">
        <v>437</v>
      </c>
    </row>
    <row r="323" spans="1:27" s="99" customFormat="1" ht="35.25" customHeight="1">
      <c r="A323" s="516"/>
      <c r="B323" s="516"/>
      <c r="C323" s="516"/>
      <c r="D323" s="516"/>
      <c r="E323" s="516"/>
      <c r="F323" s="572"/>
      <c r="G323" s="268" t="s">
        <v>844</v>
      </c>
      <c r="H323" s="268">
        <v>462</v>
      </c>
      <c r="I323" s="268">
        <v>10</v>
      </c>
      <c r="J323" s="268" t="s">
        <v>865</v>
      </c>
      <c r="K323" s="268" t="s">
        <v>230</v>
      </c>
      <c r="L323" s="380" t="s">
        <v>420</v>
      </c>
      <c r="M323" s="323"/>
      <c r="N323" s="323"/>
      <c r="O323" s="323"/>
      <c r="P323" s="323"/>
      <c r="Q323" s="323"/>
      <c r="R323" s="323"/>
      <c r="S323" s="323"/>
      <c r="T323" s="323">
        <v>16.5</v>
      </c>
      <c r="U323" s="323">
        <v>11.7</v>
      </c>
      <c r="V323" s="323"/>
      <c r="W323" s="323"/>
      <c r="X323" s="323"/>
      <c r="Y323" s="323"/>
      <c r="Z323" s="323"/>
      <c r="AA323" s="114"/>
    </row>
    <row r="324" spans="1:27" s="99" customFormat="1" ht="37.5" customHeight="1">
      <c r="A324" s="515" t="s">
        <v>736</v>
      </c>
      <c r="B324" s="515" t="s">
        <v>757</v>
      </c>
      <c r="C324" s="515" t="s">
        <v>869</v>
      </c>
      <c r="D324" s="515" t="s">
        <v>757</v>
      </c>
      <c r="E324" s="515" t="s">
        <v>737</v>
      </c>
      <c r="F324" s="529" t="s">
        <v>981</v>
      </c>
      <c r="G324" s="199" t="s">
        <v>117</v>
      </c>
      <c r="H324" s="321" t="s">
        <v>63</v>
      </c>
      <c r="I324" s="321" t="s">
        <v>908</v>
      </c>
      <c r="J324" s="321" t="s">
        <v>865</v>
      </c>
      <c r="K324" s="321" t="s">
        <v>223</v>
      </c>
      <c r="L324" s="225" t="s">
        <v>224</v>
      </c>
      <c r="M324" s="323"/>
      <c r="N324" s="323"/>
      <c r="O324" s="323"/>
      <c r="P324" s="323"/>
      <c r="Q324" s="323">
        <v>0</v>
      </c>
      <c r="R324" s="323">
        <v>0</v>
      </c>
      <c r="S324" s="322">
        <v>987.7</v>
      </c>
      <c r="T324" s="324"/>
      <c r="U324" s="324"/>
      <c r="V324" s="324"/>
      <c r="W324" s="324"/>
      <c r="X324" s="324"/>
      <c r="Y324" s="324"/>
      <c r="Z324" s="324"/>
      <c r="AA324" s="114" t="s">
        <v>441</v>
      </c>
    </row>
    <row r="325" spans="1:27" s="99" customFormat="1" ht="22.5">
      <c r="A325" s="516"/>
      <c r="B325" s="516"/>
      <c r="C325" s="516"/>
      <c r="D325" s="516"/>
      <c r="E325" s="516"/>
      <c r="F325" s="530"/>
      <c r="G325" s="199" t="s">
        <v>844</v>
      </c>
      <c r="H325" s="321" t="s">
        <v>422</v>
      </c>
      <c r="I325" s="321" t="s">
        <v>908</v>
      </c>
      <c r="J325" s="321" t="s">
        <v>865</v>
      </c>
      <c r="K325" s="321" t="s">
        <v>223</v>
      </c>
      <c r="L325" s="225" t="s">
        <v>224</v>
      </c>
      <c r="M325" s="323"/>
      <c r="N325" s="323"/>
      <c r="O325" s="323"/>
      <c r="P325" s="323"/>
      <c r="Q325" s="323"/>
      <c r="R325" s="323"/>
      <c r="S325" s="322"/>
      <c r="T325" s="322">
        <v>848.8</v>
      </c>
      <c r="U325" s="322">
        <v>500.8</v>
      </c>
      <c r="V325" s="322">
        <v>215.2</v>
      </c>
      <c r="W325" s="322">
        <v>140.4</v>
      </c>
      <c r="X325" s="322">
        <v>60.2</v>
      </c>
      <c r="Y325" s="322">
        <f>X325*1.053</f>
        <v>63.390599999999999</v>
      </c>
      <c r="Z325" s="322">
        <f>Y325*1.053</f>
        <v>66.750301799999988</v>
      </c>
      <c r="AA325" s="114"/>
    </row>
    <row r="326" spans="1:27" s="99" customFormat="1" ht="51" customHeight="1">
      <c r="A326" s="515" t="s">
        <v>736</v>
      </c>
      <c r="B326" s="515" t="s">
        <v>757</v>
      </c>
      <c r="C326" s="515" t="s">
        <v>869</v>
      </c>
      <c r="D326" s="515" t="s">
        <v>757</v>
      </c>
      <c r="E326" s="515" t="s">
        <v>737</v>
      </c>
      <c r="F326" s="529" t="s">
        <v>981</v>
      </c>
      <c r="G326" s="199" t="s">
        <v>117</v>
      </c>
      <c r="H326" s="321" t="s">
        <v>63</v>
      </c>
      <c r="I326" s="321" t="s">
        <v>908</v>
      </c>
      <c r="J326" s="321" t="s">
        <v>865</v>
      </c>
      <c r="K326" s="321" t="s">
        <v>230</v>
      </c>
      <c r="L326" s="225" t="s">
        <v>224</v>
      </c>
      <c r="M326" s="323"/>
      <c r="N326" s="323"/>
      <c r="O326" s="323"/>
      <c r="P326" s="323"/>
      <c r="Q326" s="323">
        <v>0</v>
      </c>
      <c r="R326" s="323">
        <v>0</v>
      </c>
      <c r="S326" s="323">
        <v>11.3</v>
      </c>
      <c r="T326" s="324"/>
      <c r="U326" s="324"/>
      <c r="V326" s="324"/>
      <c r="W326" s="324"/>
      <c r="X326" s="324"/>
      <c r="Y326" s="324"/>
      <c r="Z326" s="324"/>
      <c r="AA326" s="114"/>
    </row>
    <row r="327" spans="1:27" s="99" customFormat="1" ht="22.5">
      <c r="A327" s="516"/>
      <c r="B327" s="516"/>
      <c r="C327" s="516"/>
      <c r="D327" s="516"/>
      <c r="E327" s="516"/>
      <c r="F327" s="530"/>
      <c r="G327" s="199" t="s">
        <v>844</v>
      </c>
      <c r="H327" s="321" t="s">
        <v>67</v>
      </c>
      <c r="I327" s="321" t="s">
        <v>908</v>
      </c>
      <c r="J327" s="321" t="s">
        <v>865</v>
      </c>
      <c r="K327" s="321" t="s">
        <v>230</v>
      </c>
      <c r="L327" s="225" t="s">
        <v>224</v>
      </c>
      <c r="M327" s="323"/>
      <c r="N327" s="323"/>
      <c r="O327" s="323"/>
      <c r="P327" s="323"/>
      <c r="Q327" s="323"/>
      <c r="R327" s="323"/>
      <c r="S327" s="323"/>
      <c r="T327" s="323">
        <v>10.7</v>
      </c>
      <c r="U327" s="323">
        <v>1.6</v>
      </c>
      <c r="V327" s="394">
        <v>40.4</v>
      </c>
      <c r="W327" s="323">
        <v>13.7</v>
      </c>
      <c r="X327" s="323">
        <v>13.7</v>
      </c>
      <c r="Y327" s="323">
        <f>X327*1.053</f>
        <v>14.426099999999998</v>
      </c>
      <c r="Z327" s="323">
        <f>Y327*1.053</f>
        <v>15.190683299999996</v>
      </c>
      <c r="AA327" s="114"/>
    </row>
    <row r="328" spans="1:27" s="99" customFormat="1" ht="22.5">
      <c r="A328" s="515" t="s">
        <v>736</v>
      </c>
      <c r="B328" s="515" t="s">
        <v>815</v>
      </c>
      <c r="C328" s="515" t="s">
        <v>23</v>
      </c>
      <c r="D328" s="610">
        <v>1</v>
      </c>
      <c r="E328" s="564">
        <v>1</v>
      </c>
      <c r="F328" s="571" t="s">
        <v>424</v>
      </c>
      <c r="G328" s="199" t="s">
        <v>309</v>
      </c>
      <c r="H328" s="268" t="s">
        <v>63</v>
      </c>
      <c r="I328" s="268" t="s">
        <v>908</v>
      </c>
      <c r="J328" s="268" t="s">
        <v>865</v>
      </c>
      <c r="K328" s="384" t="s">
        <v>425</v>
      </c>
      <c r="L328" s="380" t="s">
        <v>416</v>
      </c>
      <c r="M328" s="322">
        <v>3041.5</v>
      </c>
      <c r="N328" s="322">
        <v>2843.4</v>
      </c>
      <c r="O328" s="322">
        <v>3245.9</v>
      </c>
      <c r="P328" s="322">
        <v>3258.5</v>
      </c>
      <c r="Q328" s="322">
        <v>978.45299999999997</v>
      </c>
      <c r="R328" s="322">
        <v>854.404</v>
      </c>
      <c r="S328" s="322">
        <v>830.7</v>
      </c>
      <c r="T328" s="324"/>
      <c r="U328" s="324"/>
      <c r="V328" s="324"/>
      <c r="W328" s="324"/>
      <c r="X328" s="324"/>
      <c r="Y328" s="324"/>
      <c r="Z328" s="324"/>
      <c r="AA328" s="114"/>
    </row>
    <row r="329" spans="1:27" ht="22.5">
      <c r="A329" s="516"/>
      <c r="B329" s="516"/>
      <c r="C329" s="516"/>
      <c r="D329" s="611"/>
      <c r="E329" s="565"/>
      <c r="F329" s="572"/>
      <c r="G329" s="199" t="s">
        <v>844</v>
      </c>
      <c r="H329" s="268">
        <v>462</v>
      </c>
      <c r="I329" s="268" t="s">
        <v>908</v>
      </c>
      <c r="J329" s="268" t="s">
        <v>865</v>
      </c>
      <c r="K329" s="384" t="s">
        <v>425</v>
      </c>
      <c r="L329" s="380" t="s">
        <v>416</v>
      </c>
      <c r="M329" s="322"/>
      <c r="N329" s="322"/>
      <c r="O329" s="322"/>
      <c r="P329" s="322"/>
      <c r="Q329" s="322"/>
      <c r="R329" s="322"/>
      <c r="S329" s="322"/>
      <c r="T329" s="322">
        <v>712.5</v>
      </c>
      <c r="U329" s="322">
        <v>780.7</v>
      </c>
      <c r="V329" s="326">
        <v>408.7</v>
      </c>
      <c r="W329" s="322">
        <v>614.1</v>
      </c>
      <c r="X329" s="322">
        <v>263.2</v>
      </c>
      <c r="Y329" s="322">
        <v>722.7</v>
      </c>
      <c r="Z329" s="322">
        <v>722.7</v>
      </c>
    </row>
    <row r="330" spans="1:27" ht="22.5">
      <c r="A330" s="515" t="s">
        <v>736</v>
      </c>
      <c r="B330" s="515" t="s">
        <v>815</v>
      </c>
      <c r="C330" s="515" t="s">
        <v>23</v>
      </c>
      <c r="D330" s="610">
        <v>2</v>
      </c>
      <c r="E330" s="564">
        <v>1</v>
      </c>
      <c r="F330" s="571" t="s">
        <v>427</v>
      </c>
      <c r="G330" s="199" t="s">
        <v>309</v>
      </c>
      <c r="H330" s="268" t="s">
        <v>63</v>
      </c>
      <c r="I330" s="268" t="s">
        <v>908</v>
      </c>
      <c r="J330" s="268" t="s">
        <v>865</v>
      </c>
      <c r="K330" s="384" t="s">
        <v>428</v>
      </c>
      <c r="L330" s="380">
        <v>612</v>
      </c>
      <c r="M330" s="322">
        <v>173.8</v>
      </c>
      <c r="N330" s="322">
        <v>130</v>
      </c>
      <c r="O330" s="322">
        <v>144.19999999999999</v>
      </c>
      <c r="P330" s="322">
        <v>107.1</v>
      </c>
      <c r="Q330" s="322">
        <v>95.088999999999999</v>
      </c>
      <c r="R330" s="322">
        <v>34.700000000000003</v>
      </c>
      <c r="S330" s="322">
        <v>33.200000000000003</v>
      </c>
      <c r="T330" s="324"/>
      <c r="U330" s="324"/>
      <c r="V330" s="324"/>
      <c r="W330" s="324"/>
      <c r="X330" s="324"/>
      <c r="Y330" s="324"/>
      <c r="Z330" s="324"/>
    </row>
    <row r="331" spans="1:27" ht="22.5">
      <c r="A331" s="516"/>
      <c r="B331" s="516"/>
      <c r="C331" s="516"/>
      <c r="D331" s="611"/>
      <c r="E331" s="565"/>
      <c r="F331" s="572"/>
      <c r="G331" s="199" t="s">
        <v>309</v>
      </c>
      <c r="H331" s="268">
        <v>462</v>
      </c>
      <c r="I331" s="268" t="s">
        <v>908</v>
      </c>
      <c r="J331" s="268" t="s">
        <v>865</v>
      </c>
      <c r="K331" s="384" t="s">
        <v>428</v>
      </c>
      <c r="L331" s="380">
        <v>612</v>
      </c>
      <c r="M331" s="322"/>
      <c r="N331" s="322"/>
      <c r="O331" s="322"/>
      <c r="P331" s="322"/>
      <c r="Q331" s="322"/>
      <c r="R331" s="322"/>
      <c r="S331" s="322"/>
      <c r="T331" s="322">
        <v>23.8</v>
      </c>
      <c r="U331" s="322">
        <v>25.8</v>
      </c>
      <c r="V331" s="322">
        <v>36.700000000000003</v>
      </c>
      <c r="W331" s="322">
        <v>25.8</v>
      </c>
      <c r="X331" s="322">
        <v>11.1</v>
      </c>
      <c r="Y331" s="323">
        <f>X331*1.053</f>
        <v>11.688299999999998</v>
      </c>
      <c r="Z331" s="323">
        <f>Y331*1.053</f>
        <v>12.307779899999998</v>
      </c>
    </row>
    <row r="332" spans="1:27" ht="22.5">
      <c r="A332" s="515" t="s">
        <v>736</v>
      </c>
      <c r="B332" s="515" t="s">
        <v>815</v>
      </c>
      <c r="C332" s="515" t="s">
        <v>23</v>
      </c>
      <c r="D332" s="610">
        <v>2</v>
      </c>
      <c r="E332" s="564">
        <v>1</v>
      </c>
      <c r="F332" s="571" t="s">
        <v>427</v>
      </c>
      <c r="G332" s="199" t="s">
        <v>309</v>
      </c>
      <c r="H332" s="268" t="s">
        <v>63</v>
      </c>
      <c r="I332" s="268" t="s">
        <v>908</v>
      </c>
      <c r="J332" s="268" t="s">
        <v>865</v>
      </c>
      <c r="K332" s="384" t="s">
        <v>430</v>
      </c>
      <c r="L332" s="380">
        <v>612</v>
      </c>
      <c r="M332" s="322"/>
      <c r="N332" s="322"/>
      <c r="O332" s="322"/>
      <c r="P332" s="322"/>
      <c r="Q332" s="322">
        <v>0</v>
      </c>
      <c r="R332" s="322">
        <v>0</v>
      </c>
      <c r="S332" s="322">
        <v>8.6999999999999993</v>
      </c>
      <c r="T332" s="324"/>
      <c r="U332" s="324"/>
      <c r="V332" s="324"/>
      <c r="W332" s="324"/>
      <c r="X332" s="324"/>
      <c r="Y332" s="324"/>
      <c r="Z332" s="324"/>
    </row>
    <row r="333" spans="1:27" ht="22.5">
      <c r="A333" s="516"/>
      <c r="B333" s="516"/>
      <c r="C333" s="516"/>
      <c r="D333" s="611"/>
      <c r="E333" s="565"/>
      <c r="F333" s="572"/>
      <c r="G333" s="199" t="s">
        <v>844</v>
      </c>
      <c r="H333" s="268">
        <v>462</v>
      </c>
      <c r="I333" s="268" t="s">
        <v>908</v>
      </c>
      <c r="J333" s="268" t="s">
        <v>865</v>
      </c>
      <c r="K333" s="384" t="s">
        <v>430</v>
      </c>
      <c r="L333" s="380">
        <v>612</v>
      </c>
      <c r="M333" s="322"/>
      <c r="N333" s="322"/>
      <c r="O333" s="322"/>
      <c r="P333" s="322"/>
      <c r="Q333" s="322"/>
      <c r="R333" s="322"/>
      <c r="S333" s="322"/>
      <c r="T333" s="322">
        <v>7.5</v>
      </c>
      <c r="U333" s="322">
        <v>5.6</v>
      </c>
      <c r="V333" s="322">
        <v>5.0999999999999996</v>
      </c>
      <c r="W333" s="322">
        <v>5.0999999999999996</v>
      </c>
      <c r="X333" s="322">
        <v>5.0999999999999996</v>
      </c>
      <c r="Y333" s="322">
        <f>X333*1.053</f>
        <v>5.3702999999999994</v>
      </c>
      <c r="Z333" s="322">
        <f>Y333*1.053</f>
        <v>5.6549258999999994</v>
      </c>
    </row>
    <row r="334" spans="1:27" ht="22.5">
      <c r="A334" s="515" t="s">
        <v>736</v>
      </c>
      <c r="B334" s="515" t="s">
        <v>815</v>
      </c>
      <c r="C334" s="515" t="s">
        <v>23</v>
      </c>
      <c r="D334" s="610">
        <v>3</v>
      </c>
      <c r="E334" s="564">
        <v>1</v>
      </c>
      <c r="F334" s="571" t="s">
        <v>432</v>
      </c>
      <c r="G334" s="199" t="s">
        <v>309</v>
      </c>
      <c r="H334" s="268" t="s">
        <v>63</v>
      </c>
      <c r="I334" s="268" t="s">
        <v>908</v>
      </c>
      <c r="J334" s="268" t="s">
        <v>865</v>
      </c>
      <c r="K334" s="384" t="s">
        <v>433</v>
      </c>
      <c r="L334" s="380" t="s">
        <v>434</v>
      </c>
      <c r="M334" s="322">
        <v>216.4</v>
      </c>
      <c r="N334" s="322">
        <v>130.80000000000001</v>
      </c>
      <c r="O334" s="322">
        <v>90.3</v>
      </c>
      <c r="P334" s="322">
        <v>116.7</v>
      </c>
      <c r="Q334" s="322">
        <v>116.554</v>
      </c>
      <c r="R334" s="322">
        <v>116.539</v>
      </c>
      <c r="S334" s="322">
        <v>155.80000000000001</v>
      </c>
      <c r="T334" s="324"/>
      <c r="U334" s="324"/>
      <c r="V334" s="324"/>
      <c r="W334" s="324"/>
      <c r="X334" s="324"/>
      <c r="Y334" s="324"/>
      <c r="Z334" s="324"/>
    </row>
    <row r="335" spans="1:27" ht="22.5">
      <c r="A335" s="516"/>
      <c r="B335" s="516"/>
      <c r="C335" s="516"/>
      <c r="D335" s="611"/>
      <c r="E335" s="565"/>
      <c r="F335" s="572"/>
      <c r="G335" s="199" t="s">
        <v>844</v>
      </c>
      <c r="H335" s="268">
        <v>462</v>
      </c>
      <c r="I335" s="268" t="s">
        <v>908</v>
      </c>
      <c r="J335" s="268" t="s">
        <v>865</v>
      </c>
      <c r="K335" s="384" t="s">
        <v>433</v>
      </c>
      <c r="L335" s="380" t="s">
        <v>434</v>
      </c>
      <c r="M335" s="322"/>
      <c r="N335" s="322"/>
      <c r="O335" s="322"/>
      <c r="P335" s="322"/>
      <c r="Q335" s="322"/>
      <c r="R335" s="322"/>
      <c r="S335" s="322"/>
      <c r="T335" s="322">
        <v>115.6</v>
      </c>
      <c r="U335" s="322">
        <v>183</v>
      </c>
      <c r="V335" s="322">
        <v>220.6</v>
      </c>
      <c r="W335" s="322">
        <v>154.4</v>
      </c>
      <c r="X335" s="322">
        <v>66.2</v>
      </c>
      <c r="Y335" s="322">
        <f>X335*1.053</f>
        <v>69.708600000000004</v>
      </c>
      <c r="Z335" s="322">
        <f>Y335*1.053</f>
        <v>73.403155799999993</v>
      </c>
    </row>
    <row r="336" spans="1:27" ht="22.5">
      <c r="A336" s="515" t="s">
        <v>736</v>
      </c>
      <c r="B336" s="515" t="s">
        <v>815</v>
      </c>
      <c r="C336" s="515" t="s">
        <v>23</v>
      </c>
      <c r="D336" s="610">
        <v>3</v>
      </c>
      <c r="E336" s="564">
        <v>1</v>
      </c>
      <c r="F336" s="571" t="s">
        <v>435</v>
      </c>
      <c r="G336" s="199" t="s">
        <v>309</v>
      </c>
      <c r="H336" s="268" t="s">
        <v>63</v>
      </c>
      <c r="I336" s="268" t="s">
        <v>908</v>
      </c>
      <c r="J336" s="268" t="s">
        <v>865</v>
      </c>
      <c r="K336" s="384" t="s">
        <v>436</v>
      </c>
      <c r="L336" s="380">
        <v>612</v>
      </c>
      <c r="M336" s="322"/>
      <c r="N336" s="322"/>
      <c r="O336" s="322"/>
      <c r="P336" s="322"/>
      <c r="Q336" s="322">
        <v>1.3</v>
      </c>
      <c r="R336" s="322">
        <v>14.2784</v>
      </c>
      <c r="S336" s="322">
        <v>36.4</v>
      </c>
      <c r="T336" s="324"/>
      <c r="U336" s="324"/>
      <c r="V336" s="324"/>
      <c r="W336" s="324"/>
      <c r="X336" s="324"/>
      <c r="Y336" s="322"/>
      <c r="Z336" s="322"/>
    </row>
    <row r="337" spans="1:26" ht="22.5">
      <c r="A337" s="516"/>
      <c r="B337" s="516"/>
      <c r="C337" s="516"/>
      <c r="D337" s="611"/>
      <c r="E337" s="565"/>
      <c r="F337" s="572"/>
      <c r="G337" s="199" t="s">
        <v>844</v>
      </c>
      <c r="H337" s="268">
        <v>462</v>
      </c>
      <c r="I337" s="268" t="s">
        <v>908</v>
      </c>
      <c r="J337" s="268" t="s">
        <v>865</v>
      </c>
      <c r="K337" s="384" t="s">
        <v>436</v>
      </c>
      <c r="L337" s="380">
        <v>612</v>
      </c>
      <c r="M337" s="322"/>
      <c r="N337" s="322"/>
      <c r="O337" s="322"/>
      <c r="P337" s="322"/>
      <c r="Q337" s="322"/>
      <c r="R337" s="322"/>
      <c r="S337" s="322"/>
      <c r="T337" s="322">
        <v>47.4</v>
      </c>
      <c r="U337" s="322">
        <v>41.2</v>
      </c>
      <c r="V337" s="322">
        <v>39.299999999999997</v>
      </c>
      <c r="W337" s="322">
        <v>39.299999999999997</v>
      </c>
      <c r="X337" s="322">
        <v>39.299999999999997</v>
      </c>
      <c r="Y337" s="322">
        <f>X337*1.053</f>
        <v>41.382899999999992</v>
      </c>
      <c r="Z337" s="322">
        <f>Y337*1.053</f>
        <v>43.57619369999999</v>
      </c>
    </row>
    <row r="338" spans="1:26" ht="22.5">
      <c r="A338" s="515" t="s">
        <v>736</v>
      </c>
      <c r="B338" s="515" t="s">
        <v>815</v>
      </c>
      <c r="C338" s="515" t="s">
        <v>23</v>
      </c>
      <c r="D338" s="610">
        <v>4</v>
      </c>
      <c r="E338" s="564">
        <v>1</v>
      </c>
      <c r="F338" s="571" t="s">
        <v>438</v>
      </c>
      <c r="G338" s="199" t="s">
        <v>309</v>
      </c>
      <c r="H338" s="268" t="s">
        <v>63</v>
      </c>
      <c r="I338" s="268" t="s">
        <v>908</v>
      </c>
      <c r="J338" s="268" t="s">
        <v>865</v>
      </c>
      <c r="K338" s="268" t="s">
        <v>439</v>
      </c>
      <c r="L338" s="380" t="s">
        <v>440</v>
      </c>
      <c r="M338" s="322"/>
      <c r="N338" s="322">
        <v>790.7</v>
      </c>
      <c r="O338" s="322">
        <v>0</v>
      </c>
      <c r="P338" s="322">
        <v>400.7</v>
      </c>
      <c r="Q338" s="322">
        <v>480.59300000000002</v>
      </c>
      <c r="R338" s="322">
        <v>353.96199999999999</v>
      </c>
      <c r="S338" s="322">
        <v>636.9</v>
      </c>
      <c r="T338" s="324"/>
      <c r="U338" s="324"/>
      <c r="V338" s="324"/>
      <c r="W338" s="324"/>
      <c r="X338" s="324"/>
      <c r="Y338" s="322"/>
      <c r="Z338" s="322"/>
    </row>
    <row r="339" spans="1:26" ht="22.5">
      <c r="A339" s="516"/>
      <c r="B339" s="516"/>
      <c r="C339" s="516"/>
      <c r="D339" s="611"/>
      <c r="E339" s="565"/>
      <c r="F339" s="572"/>
      <c r="G339" s="199" t="s">
        <v>844</v>
      </c>
      <c r="H339" s="268">
        <v>462</v>
      </c>
      <c r="I339" s="268" t="s">
        <v>908</v>
      </c>
      <c r="J339" s="268" t="s">
        <v>865</v>
      </c>
      <c r="K339" s="268" t="s">
        <v>439</v>
      </c>
      <c r="L339" s="380" t="s">
        <v>440</v>
      </c>
      <c r="M339" s="322"/>
      <c r="N339" s="322"/>
      <c r="O339" s="322"/>
      <c r="P339" s="322"/>
      <c r="Q339" s="322"/>
      <c r="R339" s="322"/>
      <c r="S339" s="322"/>
      <c r="T339" s="322">
        <v>747.5</v>
      </c>
      <c r="U339" s="322">
        <v>782.5</v>
      </c>
      <c r="V339" s="326">
        <v>769.2</v>
      </c>
      <c r="W339" s="322">
        <v>804.5</v>
      </c>
      <c r="X339" s="322">
        <v>804.5</v>
      </c>
      <c r="Y339" s="322">
        <f>X339*1.053</f>
        <v>847.13849999999991</v>
      </c>
      <c r="Z339" s="322">
        <f>Y339*1.053</f>
        <v>892.03684049999981</v>
      </c>
    </row>
    <row r="340" spans="1:26" ht="45">
      <c r="A340" s="209" t="s">
        <v>736</v>
      </c>
      <c r="B340" s="209" t="s">
        <v>815</v>
      </c>
      <c r="C340" s="209" t="s">
        <v>23</v>
      </c>
      <c r="D340" s="395"/>
      <c r="E340" s="396"/>
      <c r="F340" s="397" t="s">
        <v>442</v>
      </c>
      <c r="G340" s="199" t="s">
        <v>844</v>
      </c>
      <c r="H340" s="268">
        <v>462</v>
      </c>
      <c r="I340" s="268" t="s">
        <v>908</v>
      </c>
      <c r="J340" s="268" t="s">
        <v>865</v>
      </c>
      <c r="K340" s="384" t="s">
        <v>443</v>
      </c>
      <c r="L340" s="380" t="s">
        <v>440</v>
      </c>
      <c r="M340" s="322"/>
      <c r="N340" s="322"/>
      <c r="O340" s="322"/>
      <c r="P340" s="322"/>
      <c r="Q340" s="322"/>
      <c r="R340" s="322"/>
      <c r="S340" s="322"/>
      <c r="T340" s="322">
        <v>3</v>
      </c>
      <c r="U340" s="322">
        <v>40.799999999999997</v>
      </c>
      <c r="V340" s="322"/>
      <c r="W340" s="322"/>
      <c r="X340" s="322"/>
      <c r="Y340" s="322"/>
      <c r="Z340" s="322"/>
    </row>
    <row r="341" spans="1:26" ht="22.5">
      <c r="A341" s="209" t="s">
        <v>736</v>
      </c>
      <c r="B341" s="209" t="s">
        <v>815</v>
      </c>
      <c r="C341" s="209" t="s">
        <v>23</v>
      </c>
      <c r="D341" s="382">
        <v>5</v>
      </c>
      <c r="E341" s="380">
        <v>1</v>
      </c>
      <c r="F341" s="268" t="s">
        <v>444</v>
      </c>
      <c r="G341" s="199" t="s">
        <v>309</v>
      </c>
      <c r="H341" s="268">
        <v>458</v>
      </c>
      <c r="I341" s="268" t="s">
        <v>908</v>
      </c>
      <c r="J341" s="268" t="s">
        <v>865</v>
      </c>
      <c r="K341" s="384" t="s">
        <v>445</v>
      </c>
      <c r="L341" s="380"/>
      <c r="M341" s="322"/>
      <c r="N341" s="322"/>
      <c r="O341" s="322"/>
      <c r="P341" s="322"/>
      <c r="Q341" s="322"/>
      <c r="R341" s="322"/>
      <c r="S341" s="322"/>
      <c r="T341" s="322"/>
      <c r="U341" s="322"/>
      <c r="V341" s="322"/>
      <c r="W341" s="322"/>
      <c r="X341" s="322"/>
      <c r="Y341" s="322"/>
      <c r="Z341" s="322"/>
    </row>
    <row r="342" spans="1:26" ht="67.5">
      <c r="A342" s="398">
        <v>1</v>
      </c>
      <c r="B342" s="398">
        <v>6</v>
      </c>
      <c r="C342" s="398">
        <v>16</v>
      </c>
      <c r="D342" s="398"/>
      <c r="E342" s="389"/>
      <c r="F342" s="351" t="s">
        <v>446</v>
      </c>
      <c r="G342" s="351" t="s">
        <v>309</v>
      </c>
      <c r="H342" s="399">
        <v>458</v>
      </c>
      <c r="I342" s="399"/>
      <c r="J342" s="399"/>
      <c r="K342" s="399"/>
      <c r="L342" s="389"/>
      <c r="M342" s="400"/>
      <c r="N342" s="400"/>
      <c r="O342" s="400"/>
      <c r="P342" s="400"/>
      <c r="Q342" s="400"/>
      <c r="R342" s="400"/>
      <c r="S342" s="400"/>
      <c r="T342" s="400"/>
      <c r="U342" s="400"/>
      <c r="V342" s="400"/>
      <c r="W342" s="400"/>
      <c r="X342" s="400"/>
      <c r="Y342" s="400"/>
      <c r="Z342" s="400"/>
    </row>
  </sheetData>
  <mergeCells count="548">
    <mergeCell ref="A332:A333"/>
    <mergeCell ref="B332:B333"/>
    <mergeCell ref="C332:C333"/>
    <mergeCell ref="D332:D333"/>
    <mergeCell ref="E332:E333"/>
    <mergeCell ref="F332:F333"/>
    <mergeCell ref="A338:A339"/>
    <mergeCell ref="B338:B339"/>
    <mergeCell ref="C338:C339"/>
    <mergeCell ref="D338:D339"/>
    <mergeCell ref="E338:E339"/>
    <mergeCell ref="F338:F339"/>
    <mergeCell ref="A334:A335"/>
    <mergeCell ref="B334:B335"/>
    <mergeCell ref="C334:C335"/>
    <mergeCell ref="D334:D335"/>
    <mergeCell ref="E334:E335"/>
    <mergeCell ref="F334:F335"/>
    <mergeCell ref="A336:A337"/>
    <mergeCell ref="B336:B337"/>
    <mergeCell ref="C336:C337"/>
    <mergeCell ref="D336:D337"/>
    <mergeCell ref="E336:E337"/>
    <mergeCell ref="F336:F337"/>
    <mergeCell ref="A328:A329"/>
    <mergeCell ref="B328:B329"/>
    <mergeCell ref="C328:C329"/>
    <mergeCell ref="D328:D329"/>
    <mergeCell ref="E328:E329"/>
    <mergeCell ref="F328:F329"/>
    <mergeCell ref="A330:A331"/>
    <mergeCell ref="B330:B331"/>
    <mergeCell ref="C330:C331"/>
    <mergeCell ref="D330:D331"/>
    <mergeCell ref="E330:E331"/>
    <mergeCell ref="F330:F331"/>
    <mergeCell ref="A294:A301"/>
    <mergeCell ref="B294:B301"/>
    <mergeCell ref="C294:C301"/>
    <mergeCell ref="D294:D301"/>
    <mergeCell ref="E294:E301"/>
    <mergeCell ref="F294:F301"/>
    <mergeCell ref="A326:A327"/>
    <mergeCell ref="B326:B327"/>
    <mergeCell ref="C326:C327"/>
    <mergeCell ref="D326:D327"/>
    <mergeCell ref="E326:E327"/>
    <mergeCell ref="F326:F327"/>
    <mergeCell ref="A290:A291"/>
    <mergeCell ref="B290:B291"/>
    <mergeCell ref="C290:C291"/>
    <mergeCell ref="D290:D291"/>
    <mergeCell ref="E290:E291"/>
    <mergeCell ref="A292:A293"/>
    <mergeCell ref="B292:B293"/>
    <mergeCell ref="C292:C293"/>
    <mergeCell ref="D292:D293"/>
    <mergeCell ref="E292:E293"/>
    <mergeCell ref="A286:A287"/>
    <mergeCell ref="B286:B287"/>
    <mergeCell ref="C286:C287"/>
    <mergeCell ref="D286:D287"/>
    <mergeCell ref="E286:E287"/>
    <mergeCell ref="F286:F287"/>
    <mergeCell ref="A288:A289"/>
    <mergeCell ref="B288:B289"/>
    <mergeCell ref="C288:C289"/>
    <mergeCell ref="D288:D289"/>
    <mergeCell ref="E288:E289"/>
    <mergeCell ref="A280:A281"/>
    <mergeCell ref="B280:B281"/>
    <mergeCell ref="C280:C281"/>
    <mergeCell ref="D280:D281"/>
    <mergeCell ref="E280:E281"/>
    <mergeCell ref="F280:F281"/>
    <mergeCell ref="A282:A283"/>
    <mergeCell ref="B282:B283"/>
    <mergeCell ref="C282:C283"/>
    <mergeCell ref="D282:D283"/>
    <mergeCell ref="E282:E283"/>
    <mergeCell ref="F282:F283"/>
    <mergeCell ref="A275:A276"/>
    <mergeCell ref="B275:B276"/>
    <mergeCell ref="C275:C276"/>
    <mergeCell ref="D275:D276"/>
    <mergeCell ref="E275:E276"/>
    <mergeCell ref="F275:F276"/>
    <mergeCell ref="A277:A278"/>
    <mergeCell ref="B277:B278"/>
    <mergeCell ref="C277:C278"/>
    <mergeCell ref="D277:D278"/>
    <mergeCell ref="E277:E278"/>
    <mergeCell ref="F277:F278"/>
    <mergeCell ref="A264:A265"/>
    <mergeCell ref="B264:B265"/>
    <mergeCell ref="C264:C265"/>
    <mergeCell ref="D264:D265"/>
    <mergeCell ref="E264:E265"/>
    <mergeCell ref="F264:F265"/>
    <mergeCell ref="A268:A270"/>
    <mergeCell ref="B268:B270"/>
    <mergeCell ref="C268:C270"/>
    <mergeCell ref="D268:D270"/>
    <mergeCell ref="E268:E270"/>
    <mergeCell ref="F268:F270"/>
    <mergeCell ref="A247:A251"/>
    <mergeCell ref="B247:B251"/>
    <mergeCell ref="C247:C251"/>
    <mergeCell ref="D247:D251"/>
    <mergeCell ref="E247:E251"/>
    <mergeCell ref="F247:F251"/>
    <mergeCell ref="A258:A263"/>
    <mergeCell ref="B258:B263"/>
    <mergeCell ref="C258:C263"/>
    <mergeCell ref="D258:D263"/>
    <mergeCell ref="E258:E263"/>
    <mergeCell ref="F258:F263"/>
    <mergeCell ref="A240:A243"/>
    <mergeCell ref="B240:B243"/>
    <mergeCell ref="C240:C243"/>
    <mergeCell ref="D240:D243"/>
    <mergeCell ref="E240:E243"/>
    <mergeCell ref="F240:F243"/>
    <mergeCell ref="A244:A245"/>
    <mergeCell ref="B244:B245"/>
    <mergeCell ref="C244:C245"/>
    <mergeCell ref="D244:D245"/>
    <mergeCell ref="E244:E245"/>
    <mergeCell ref="F244:F245"/>
    <mergeCell ref="A235:A236"/>
    <mergeCell ref="B235:B236"/>
    <mergeCell ref="C235:C236"/>
    <mergeCell ref="D235:D236"/>
    <mergeCell ref="E235:E236"/>
    <mergeCell ref="F235:F236"/>
    <mergeCell ref="A237:A239"/>
    <mergeCell ref="B237:B239"/>
    <mergeCell ref="C237:C239"/>
    <mergeCell ref="D237:D239"/>
    <mergeCell ref="E237:E239"/>
    <mergeCell ref="F237:F239"/>
    <mergeCell ref="A228:A229"/>
    <mergeCell ref="B228:B229"/>
    <mergeCell ref="C228:C229"/>
    <mergeCell ref="D228:D229"/>
    <mergeCell ref="E228:E229"/>
    <mergeCell ref="F228:F229"/>
    <mergeCell ref="A232:A234"/>
    <mergeCell ref="B232:B234"/>
    <mergeCell ref="C232:C234"/>
    <mergeCell ref="D232:D234"/>
    <mergeCell ref="E232:E234"/>
    <mergeCell ref="F232:F234"/>
    <mergeCell ref="A222:A223"/>
    <mergeCell ref="B222:B223"/>
    <mergeCell ref="C222:C223"/>
    <mergeCell ref="D222:D223"/>
    <mergeCell ref="E222:E223"/>
    <mergeCell ref="F222:F223"/>
    <mergeCell ref="A226:A227"/>
    <mergeCell ref="B226:B227"/>
    <mergeCell ref="C226:C227"/>
    <mergeCell ref="D226:D227"/>
    <mergeCell ref="E226:E227"/>
    <mergeCell ref="F226:F227"/>
    <mergeCell ref="A216:A217"/>
    <mergeCell ref="B216:B217"/>
    <mergeCell ref="C216:C217"/>
    <mergeCell ref="D216:D217"/>
    <mergeCell ref="E216:E217"/>
    <mergeCell ref="F216:F217"/>
    <mergeCell ref="A220:A221"/>
    <mergeCell ref="B220:B221"/>
    <mergeCell ref="C220:C221"/>
    <mergeCell ref="D220:D221"/>
    <mergeCell ref="E220:E221"/>
    <mergeCell ref="F220:F221"/>
    <mergeCell ref="G194:G195"/>
    <mergeCell ref="A204:A205"/>
    <mergeCell ref="B204:B205"/>
    <mergeCell ref="C204:C205"/>
    <mergeCell ref="D204:D205"/>
    <mergeCell ref="E204:E205"/>
    <mergeCell ref="F204:F205"/>
    <mergeCell ref="A208:A214"/>
    <mergeCell ref="B208:B214"/>
    <mergeCell ref="C208:C214"/>
    <mergeCell ref="D208:D214"/>
    <mergeCell ref="E208:E214"/>
    <mergeCell ref="F208:F214"/>
    <mergeCell ref="A191:A193"/>
    <mergeCell ref="C191:C193"/>
    <mergeCell ref="D191:D193"/>
    <mergeCell ref="E191:E193"/>
    <mergeCell ref="F191:F193"/>
    <mergeCell ref="A194:A195"/>
    <mergeCell ref="B194:B195"/>
    <mergeCell ref="C194:C195"/>
    <mergeCell ref="D194:D195"/>
    <mergeCell ref="E194:E195"/>
    <mergeCell ref="F194:F195"/>
    <mergeCell ref="A187:A188"/>
    <mergeCell ref="B187:B188"/>
    <mergeCell ref="C187:C188"/>
    <mergeCell ref="D187:D188"/>
    <mergeCell ref="E187:E188"/>
    <mergeCell ref="F187:F188"/>
    <mergeCell ref="A185:A186"/>
    <mergeCell ref="A189:A190"/>
    <mergeCell ref="B189:B190"/>
    <mergeCell ref="C189:C190"/>
    <mergeCell ref="D189:D190"/>
    <mergeCell ref="E189:E190"/>
    <mergeCell ref="F189:F190"/>
    <mergeCell ref="A183:A184"/>
    <mergeCell ref="B183:B184"/>
    <mergeCell ref="C183:C184"/>
    <mergeCell ref="D183:D184"/>
    <mergeCell ref="E183:E184"/>
    <mergeCell ref="F183:F184"/>
    <mergeCell ref="A179:A182"/>
    <mergeCell ref="C185:C186"/>
    <mergeCell ref="D185:D186"/>
    <mergeCell ref="E185:E186"/>
    <mergeCell ref="F185:F186"/>
    <mergeCell ref="A177:A178"/>
    <mergeCell ref="B177:B178"/>
    <mergeCell ref="C177:C178"/>
    <mergeCell ref="D177:D178"/>
    <mergeCell ref="E177:E178"/>
    <mergeCell ref="F177:F178"/>
    <mergeCell ref="A171:A176"/>
    <mergeCell ref="C179:C182"/>
    <mergeCell ref="D179:D182"/>
    <mergeCell ref="E179:E182"/>
    <mergeCell ref="F179:F182"/>
    <mergeCell ref="A154:A155"/>
    <mergeCell ref="B154:B155"/>
    <mergeCell ref="C154:C155"/>
    <mergeCell ref="D154:D155"/>
    <mergeCell ref="E154:E155"/>
    <mergeCell ref="F154:F155"/>
    <mergeCell ref="C171:C176"/>
    <mergeCell ref="D171:D176"/>
    <mergeCell ref="E171:E176"/>
    <mergeCell ref="F171:F176"/>
    <mergeCell ref="A148:A149"/>
    <mergeCell ref="B148:B149"/>
    <mergeCell ref="C148:C149"/>
    <mergeCell ref="D148:D149"/>
    <mergeCell ref="E148:E149"/>
    <mergeCell ref="F148:F149"/>
    <mergeCell ref="A150:A151"/>
    <mergeCell ref="B150:B151"/>
    <mergeCell ref="C150:C151"/>
    <mergeCell ref="D150:D151"/>
    <mergeCell ref="E150:E151"/>
    <mergeCell ref="F150:F151"/>
    <mergeCell ref="A144:A145"/>
    <mergeCell ref="B144:B145"/>
    <mergeCell ref="C144:C145"/>
    <mergeCell ref="D144:D145"/>
    <mergeCell ref="E144:E145"/>
    <mergeCell ref="F144:F145"/>
    <mergeCell ref="A146:A147"/>
    <mergeCell ref="B146:B147"/>
    <mergeCell ref="C146:C147"/>
    <mergeCell ref="D146:D147"/>
    <mergeCell ref="E146:E147"/>
    <mergeCell ref="F146:F147"/>
    <mergeCell ref="A136:A137"/>
    <mergeCell ref="B136:B137"/>
    <mergeCell ref="C136:C137"/>
    <mergeCell ref="D136:D137"/>
    <mergeCell ref="E136:E137"/>
    <mergeCell ref="F136:F137"/>
    <mergeCell ref="C140:C141"/>
    <mergeCell ref="D140:D141"/>
    <mergeCell ref="E140:E141"/>
    <mergeCell ref="F140:F142"/>
    <mergeCell ref="A132:A133"/>
    <mergeCell ref="B132:B133"/>
    <mergeCell ref="C132:C133"/>
    <mergeCell ref="D132:D133"/>
    <mergeCell ref="E132:E133"/>
    <mergeCell ref="F132:F133"/>
    <mergeCell ref="A134:A135"/>
    <mergeCell ref="B134:B135"/>
    <mergeCell ref="C134:C135"/>
    <mergeCell ref="D134:D135"/>
    <mergeCell ref="E134:E135"/>
    <mergeCell ref="F134:F135"/>
    <mergeCell ref="A128:A129"/>
    <mergeCell ref="B128:B129"/>
    <mergeCell ref="C128:C129"/>
    <mergeCell ref="D128:D129"/>
    <mergeCell ref="E128:E129"/>
    <mergeCell ref="F128:F129"/>
    <mergeCell ref="A130:A131"/>
    <mergeCell ref="B130:B131"/>
    <mergeCell ref="C130:C131"/>
    <mergeCell ref="D130:D131"/>
    <mergeCell ref="E130:E131"/>
    <mergeCell ref="F130:F131"/>
    <mergeCell ref="A123:A125"/>
    <mergeCell ref="B123:B125"/>
    <mergeCell ref="C123:C125"/>
    <mergeCell ref="D123:D125"/>
    <mergeCell ref="E123:E125"/>
    <mergeCell ref="F123:F125"/>
    <mergeCell ref="G123:G125"/>
    <mergeCell ref="A126:A127"/>
    <mergeCell ref="B126:B127"/>
    <mergeCell ref="C126:C127"/>
    <mergeCell ref="D126:D127"/>
    <mergeCell ref="E126:E127"/>
    <mergeCell ref="F126:F127"/>
    <mergeCell ref="G126:G127"/>
    <mergeCell ref="A118:A119"/>
    <mergeCell ref="B118:B119"/>
    <mergeCell ref="C118:C119"/>
    <mergeCell ref="D118:D119"/>
    <mergeCell ref="E118:E119"/>
    <mergeCell ref="F118:F119"/>
    <mergeCell ref="G118:G119"/>
    <mergeCell ref="A120:A121"/>
    <mergeCell ref="B120:B121"/>
    <mergeCell ref="C120:C121"/>
    <mergeCell ref="D120:D121"/>
    <mergeCell ref="E120:E121"/>
    <mergeCell ref="F120:F121"/>
    <mergeCell ref="A109:A110"/>
    <mergeCell ref="B109:B110"/>
    <mergeCell ref="C109:C110"/>
    <mergeCell ref="D109:D110"/>
    <mergeCell ref="E109:E110"/>
    <mergeCell ref="F109:F110"/>
    <mergeCell ref="A103:A105"/>
    <mergeCell ref="A115:A116"/>
    <mergeCell ref="B115:B116"/>
    <mergeCell ref="C115:C116"/>
    <mergeCell ref="D115:D116"/>
    <mergeCell ref="E115:E116"/>
    <mergeCell ref="F115:F116"/>
    <mergeCell ref="B84:B85"/>
    <mergeCell ref="C84:C85"/>
    <mergeCell ref="D84:D85"/>
    <mergeCell ref="E84:E85"/>
    <mergeCell ref="F84:F85"/>
    <mergeCell ref="D89:D91"/>
    <mergeCell ref="E89:E91"/>
    <mergeCell ref="F89:F91"/>
    <mergeCell ref="A96:A97"/>
    <mergeCell ref="B96:B97"/>
    <mergeCell ref="C96:C97"/>
    <mergeCell ref="D96:D97"/>
    <mergeCell ref="E96:E97"/>
    <mergeCell ref="F96:F97"/>
    <mergeCell ref="E64:E65"/>
    <mergeCell ref="A66:A67"/>
    <mergeCell ref="B66:B67"/>
    <mergeCell ref="C66:C67"/>
    <mergeCell ref="D66:D67"/>
    <mergeCell ref="E66:E67"/>
    <mergeCell ref="F66:F67"/>
    <mergeCell ref="A68:A69"/>
    <mergeCell ref="B68:B69"/>
    <mergeCell ref="C68:C69"/>
    <mergeCell ref="D68:D69"/>
    <mergeCell ref="E68:E69"/>
    <mergeCell ref="F68:F69"/>
    <mergeCell ref="B64:B65"/>
    <mergeCell ref="G56:G57"/>
    <mergeCell ref="A58:A59"/>
    <mergeCell ref="B58:B59"/>
    <mergeCell ref="C58:C59"/>
    <mergeCell ref="D58:D59"/>
    <mergeCell ref="E58:E59"/>
    <mergeCell ref="F58:F59"/>
    <mergeCell ref="A60:A63"/>
    <mergeCell ref="B60:B63"/>
    <mergeCell ref="C60:C63"/>
    <mergeCell ref="D60:D63"/>
    <mergeCell ref="E60:E63"/>
    <mergeCell ref="F60:F63"/>
    <mergeCell ref="B140:B141"/>
    <mergeCell ref="B171:B176"/>
    <mergeCell ref="B179:B182"/>
    <mergeCell ref="B185:B186"/>
    <mergeCell ref="C320:C321"/>
    <mergeCell ref="F324:F325"/>
    <mergeCell ref="F254:F256"/>
    <mergeCell ref="F322:F323"/>
    <mergeCell ref="F320:F321"/>
    <mergeCell ref="F314:F315"/>
    <mergeCell ref="F312:F313"/>
    <mergeCell ref="F318:F319"/>
    <mergeCell ref="F316:F317"/>
    <mergeCell ref="F266:F267"/>
    <mergeCell ref="F292:F293"/>
    <mergeCell ref="B324:B325"/>
    <mergeCell ref="B318:B319"/>
    <mergeCell ref="B310:B311"/>
    <mergeCell ref="B322:B323"/>
    <mergeCell ref="B254:B256"/>
    <mergeCell ref="B314:B315"/>
    <mergeCell ref="B320:B321"/>
    <mergeCell ref="B266:B267"/>
    <mergeCell ref="B316:B317"/>
    <mergeCell ref="B312:B313"/>
    <mergeCell ref="C324:C325"/>
    <mergeCell ref="F75:F76"/>
    <mergeCell ref="F310:F311"/>
    <mergeCell ref="F302:F303"/>
    <mergeCell ref="F308:F309"/>
    <mergeCell ref="F160:F162"/>
    <mergeCell ref="F290:F291"/>
    <mergeCell ref="F111:F114"/>
    <mergeCell ref="F288:F289"/>
    <mergeCell ref="D81:D82"/>
    <mergeCell ref="E81:E82"/>
    <mergeCell ref="F81:F82"/>
    <mergeCell ref="D103:D105"/>
    <mergeCell ref="E103:E105"/>
    <mergeCell ref="F103:F105"/>
    <mergeCell ref="C103:C105"/>
    <mergeCell ref="B70:B71"/>
    <mergeCell ref="B81:B82"/>
    <mergeCell ref="B89:B91"/>
    <mergeCell ref="B103:B105"/>
    <mergeCell ref="E70:E71"/>
    <mergeCell ref="E254:E256"/>
    <mergeCell ref="E324:E325"/>
    <mergeCell ref="E318:E319"/>
    <mergeCell ref="E314:E315"/>
    <mergeCell ref="E320:E321"/>
    <mergeCell ref="E316:E317"/>
    <mergeCell ref="E75:E76"/>
    <mergeCell ref="E312:E313"/>
    <mergeCell ref="C322:C323"/>
    <mergeCell ref="C314:C315"/>
    <mergeCell ref="C316:C317"/>
    <mergeCell ref="E322:E323"/>
    <mergeCell ref="C310:C311"/>
    <mergeCell ref="E266:E267"/>
    <mergeCell ref="E310:E311"/>
    <mergeCell ref="C111:C112"/>
    <mergeCell ref="C81:C82"/>
    <mergeCell ref="C89:C91"/>
    <mergeCell ref="A324:A325"/>
    <mergeCell ref="A266:A267"/>
    <mergeCell ref="D314:D315"/>
    <mergeCell ref="D324:D325"/>
    <mergeCell ref="A322:A323"/>
    <mergeCell ref="C254:C256"/>
    <mergeCell ref="A318:A319"/>
    <mergeCell ref="A310:A311"/>
    <mergeCell ref="A320:A321"/>
    <mergeCell ref="A316:A317"/>
    <mergeCell ref="A314:A315"/>
    <mergeCell ref="A254:A256"/>
    <mergeCell ref="A312:A313"/>
    <mergeCell ref="C318:C319"/>
    <mergeCell ref="C312:C313"/>
    <mergeCell ref="C266:C267"/>
    <mergeCell ref="D310:D311"/>
    <mergeCell ref="D254:D256"/>
    <mergeCell ref="D320:D321"/>
    <mergeCell ref="D316:D317"/>
    <mergeCell ref="D322:D323"/>
    <mergeCell ref="D266:D267"/>
    <mergeCell ref="D318:D319"/>
    <mergeCell ref="D312:D313"/>
    <mergeCell ref="A75:A76"/>
    <mergeCell ref="A64:A65"/>
    <mergeCell ref="A81:A82"/>
    <mergeCell ref="A89:A91"/>
    <mergeCell ref="A20:A24"/>
    <mergeCell ref="A28:A29"/>
    <mergeCell ref="A36:A38"/>
    <mergeCell ref="A25:A27"/>
    <mergeCell ref="A70:A71"/>
    <mergeCell ref="A30:A32"/>
    <mergeCell ref="A33:A34"/>
    <mergeCell ref="A46:A48"/>
    <mergeCell ref="A50:A51"/>
    <mergeCell ref="A56:A57"/>
    <mergeCell ref="A84:A85"/>
    <mergeCell ref="C75:C76"/>
    <mergeCell ref="B46:B48"/>
    <mergeCell ref="C46:C48"/>
    <mergeCell ref="D46:D48"/>
    <mergeCell ref="B50:B51"/>
    <mergeCell ref="C50:C51"/>
    <mergeCell ref="D50:D51"/>
    <mergeCell ref="B56:B57"/>
    <mergeCell ref="C56:C57"/>
    <mergeCell ref="C64:C65"/>
    <mergeCell ref="C70:C71"/>
    <mergeCell ref="D70:D71"/>
    <mergeCell ref="D75:D76"/>
    <mergeCell ref="B75:B76"/>
    <mergeCell ref="D64:D65"/>
    <mergeCell ref="E36:E38"/>
    <mergeCell ref="F36:F38"/>
    <mergeCell ref="E33:E34"/>
    <mergeCell ref="B30:B32"/>
    <mergeCell ref="E46:E48"/>
    <mergeCell ref="F46:F48"/>
    <mergeCell ref="E50:E51"/>
    <mergeCell ref="F50:F51"/>
    <mergeCell ref="D56:D57"/>
    <mergeCell ref="E56:E57"/>
    <mergeCell ref="F56:F57"/>
    <mergeCell ref="D36:D38"/>
    <mergeCell ref="B33:B34"/>
    <mergeCell ref="E30:E32"/>
    <mergeCell ref="E20:E24"/>
    <mergeCell ref="E25:E27"/>
    <mergeCell ref="E28:E29"/>
    <mergeCell ref="D30:D32"/>
    <mergeCell ref="D28:D29"/>
    <mergeCell ref="D20:D24"/>
    <mergeCell ref="D25:D27"/>
    <mergeCell ref="F70:F71"/>
    <mergeCell ref="M8:Z8"/>
    <mergeCell ref="D6:Q6"/>
    <mergeCell ref="H8:L8"/>
    <mergeCell ref="G8:G9"/>
    <mergeCell ref="F8:F9"/>
    <mergeCell ref="A8:E8"/>
    <mergeCell ref="C30:C32"/>
    <mergeCell ref="C33:C34"/>
    <mergeCell ref="C36:C38"/>
    <mergeCell ref="B20:B24"/>
    <mergeCell ref="B25:B27"/>
    <mergeCell ref="B28:B29"/>
    <mergeCell ref="C20:C24"/>
    <mergeCell ref="C25:C27"/>
    <mergeCell ref="C28:C29"/>
    <mergeCell ref="B36:B38"/>
    <mergeCell ref="F20:F24"/>
    <mergeCell ref="F11:F19"/>
    <mergeCell ref="F25:F27"/>
    <mergeCell ref="F28:F29"/>
    <mergeCell ref="F30:F32"/>
    <mergeCell ref="F33:F34"/>
    <mergeCell ref="D33:D34"/>
  </mergeCells>
  <phoneticPr fontId="33" type="noConversion"/>
  <pageMargins left="0.27559053897857699" right="0.23622046411037401" top="0.23622046411037401" bottom="0.27559053897857699" header="0.31496062874794001" footer="0.31496062874794001"/>
  <pageSetup paperSize="9" scale="72" fitToHeight="0" orientation="landscape" r:id="rId1"/>
  <headerFooter>
    <oddFooter>&amp;C&amp;11&amp;"Calibri,Regular"&amp;P&amp;12&amp;"-,Regular"</oddFooter>
  </headerFooter>
  <rowBreaks count="4" manualBreakCount="4">
    <brk id="72" max="16383" man="1"/>
    <brk id="122" max="16383" man="1"/>
    <brk id="132" max="16383" man="1"/>
    <brk id="220" max="16383" man="1"/>
  </rowBreaks>
</worksheet>
</file>

<file path=xl/worksheets/sheet6.xml><?xml version="1.0" encoding="utf-8"?>
<worksheet xmlns="http://schemas.openxmlformats.org/spreadsheetml/2006/main" xmlns:r="http://schemas.openxmlformats.org/officeDocument/2006/relationships">
  <sheetPr>
    <pageSetUpPr fitToPage="1"/>
  </sheetPr>
  <dimension ref="A1:AD88"/>
  <sheetViews>
    <sheetView tabSelected="1" view="pageBreakPreview" topLeftCell="A6" zoomScale="60" zoomScaleNormal="100" workbookViewId="0">
      <pane xSplit="10" ySplit="6" topLeftCell="K45" activePane="bottomRight" state="frozen"/>
      <selection pane="topRight" activeCell="A6" sqref="A6"/>
      <selection pane="bottomLeft" activeCell="A6" sqref="A6"/>
      <selection pane="bottomRight" activeCell="A6" sqref="A6:S73"/>
    </sheetView>
  </sheetViews>
  <sheetFormatPr defaultColWidth="9.140625" defaultRowHeight="15"/>
  <cols>
    <col min="1" max="2" width="4.7109375" customWidth="1"/>
    <col min="3" max="3" width="19.5703125" customWidth="1"/>
    <col min="4" max="4" width="43.140625" customWidth="1"/>
    <col min="5" max="5" width="10.140625" style="1" customWidth="1"/>
    <col min="6" max="6" width="0.140625" style="1" hidden="1" customWidth="1"/>
    <col min="7" max="7" width="9.42578125" style="120" hidden="1" customWidth="1"/>
    <col min="8" max="8" width="7.85546875" style="120" hidden="1" customWidth="1"/>
    <col min="9" max="9" width="9.7109375" style="120" hidden="1" customWidth="1"/>
    <col min="10" max="10" width="9.42578125" style="120" hidden="1" customWidth="1"/>
    <col min="11" max="11" width="9.140625" style="121" bestFit="1" customWidth="1"/>
    <col min="12" max="12" width="11.140625" customWidth="1"/>
    <col min="13" max="13" width="8.42578125" customWidth="1"/>
    <col min="14" max="14" width="9.28515625" bestFit="1" customWidth="1"/>
    <col min="15" max="19" width="9" customWidth="1"/>
    <col min="20" max="20" width="21.5703125" customWidth="1"/>
    <col min="21" max="21" width="11.140625" bestFit="1" customWidth="1"/>
    <col min="22" max="22" width="11.28515625" customWidth="1"/>
    <col min="23" max="23" width="11.7109375" customWidth="1"/>
    <col min="24" max="24" width="12.42578125" customWidth="1"/>
    <col min="25" max="25" width="12" customWidth="1"/>
    <col min="26" max="26" width="11.5703125" customWidth="1"/>
    <col min="27" max="27" width="13.140625" bestFit="1" customWidth="1"/>
  </cols>
  <sheetData>
    <row r="1" spans="1:30">
      <c r="A1" s="85"/>
      <c r="B1" s="85"/>
      <c r="C1" s="85"/>
      <c r="D1" s="85"/>
      <c r="E1" s="7"/>
      <c r="F1" s="7"/>
      <c r="G1" s="1"/>
      <c r="H1" s="1"/>
      <c r="I1" s="7"/>
      <c r="J1" s="7"/>
      <c r="K1" s="122" t="s">
        <v>447</v>
      </c>
      <c r="L1" s="85"/>
    </row>
    <row r="2" spans="1:30">
      <c r="A2" s="85"/>
      <c r="B2" s="85"/>
      <c r="C2" s="85"/>
      <c r="D2" s="85"/>
      <c r="E2" s="7"/>
      <c r="F2" s="7"/>
      <c r="G2" s="1"/>
      <c r="H2" s="1"/>
      <c r="I2" s="7"/>
      <c r="J2" s="7"/>
      <c r="K2" s="122" t="s">
        <v>707</v>
      </c>
      <c r="L2" s="85"/>
    </row>
    <row r="3" spans="1:30" ht="33.75" customHeight="1">
      <c r="A3" s="85"/>
      <c r="B3" s="85"/>
      <c r="C3" s="85"/>
      <c r="D3" s="85"/>
      <c r="E3" s="7"/>
      <c r="F3" s="7"/>
      <c r="G3" s="1"/>
      <c r="H3" s="1"/>
      <c r="I3" s="7"/>
      <c r="J3" s="7"/>
      <c r="K3" s="618" t="s">
        <v>448</v>
      </c>
      <c r="L3" s="618"/>
      <c r="M3" s="618"/>
      <c r="N3" s="618"/>
      <c r="O3" s="96"/>
      <c r="P3" s="96"/>
      <c r="Q3" s="96"/>
      <c r="R3" s="96"/>
      <c r="S3" s="96"/>
      <c r="T3" s="96"/>
    </row>
    <row r="4" spans="1:30">
      <c r="A4" s="85"/>
      <c r="B4" s="85"/>
      <c r="C4" s="85"/>
      <c r="D4" s="85"/>
      <c r="E4" s="7"/>
      <c r="F4" s="7"/>
      <c r="G4" s="1"/>
      <c r="H4" s="1"/>
      <c r="I4" s="7"/>
      <c r="J4" s="7"/>
      <c r="K4" s="122" t="s">
        <v>709</v>
      </c>
      <c r="L4" s="85"/>
    </row>
    <row r="5" spans="1:30">
      <c r="A5" s="85"/>
      <c r="B5" s="85"/>
      <c r="C5" s="85"/>
      <c r="D5" s="85"/>
      <c r="E5" s="7"/>
      <c r="F5" s="7"/>
      <c r="G5" s="1"/>
      <c r="H5" s="1"/>
      <c r="I5" s="1"/>
      <c r="J5" s="7"/>
      <c r="K5" s="122"/>
      <c r="L5" s="123"/>
      <c r="M5" s="1"/>
    </row>
    <row r="6" spans="1:30" ht="18" customHeight="1">
      <c r="A6" s="401" t="s">
        <v>449</v>
      </c>
      <c r="B6" s="402"/>
      <c r="C6" s="402"/>
      <c r="D6" s="402"/>
      <c r="E6" s="402"/>
      <c r="F6" s="402"/>
      <c r="G6" s="402"/>
      <c r="H6" s="402"/>
      <c r="I6" s="402"/>
      <c r="J6" s="402"/>
      <c r="K6" s="403"/>
      <c r="L6" s="404"/>
      <c r="M6" s="404"/>
      <c r="N6" s="404"/>
      <c r="O6" s="404"/>
      <c r="P6" s="404"/>
      <c r="Q6" s="404"/>
      <c r="R6" s="404"/>
      <c r="S6" s="404"/>
    </row>
    <row r="7" spans="1:30" ht="10.5" customHeight="1">
      <c r="A7" s="280"/>
      <c r="B7" s="280"/>
      <c r="C7" s="280"/>
      <c r="D7" s="280"/>
      <c r="E7" s="7"/>
      <c r="F7" s="7"/>
      <c r="G7" s="7"/>
      <c r="H7" s="7"/>
      <c r="I7" s="7"/>
      <c r="J7" s="7"/>
      <c r="K7" s="405"/>
      <c r="L7" s="124"/>
      <c r="M7" s="404"/>
      <c r="N7" s="404"/>
      <c r="O7" s="404"/>
      <c r="P7" s="404"/>
      <c r="Q7" s="404"/>
      <c r="R7" s="404"/>
      <c r="S7" s="404"/>
    </row>
    <row r="8" spans="1:30" ht="20.25" customHeight="1">
      <c r="A8" s="630" t="s">
        <v>711</v>
      </c>
      <c r="B8" s="631"/>
      <c r="C8" s="621" t="s">
        <v>450</v>
      </c>
      <c r="D8" s="621" t="s">
        <v>451</v>
      </c>
      <c r="E8" s="623" t="s">
        <v>452</v>
      </c>
      <c r="F8" s="624"/>
      <c r="G8" s="624"/>
      <c r="H8" s="624"/>
      <c r="I8" s="624"/>
      <c r="J8" s="624"/>
      <c r="K8" s="624"/>
      <c r="L8" s="624"/>
      <c r="M8" s="624"/>
      <c r="N8" s="624"/>
      <c r="O8" s="624"/>
      <c r="P8" s="624"/>
      <c r="Q8" s="624"/>
      <c r="R8" s="406"/>
      <c r="S8" s="406"/>
    </row>
    <row r="9" spans="1:30" ht="33.75" customHeight="1">
      <c r="A9" s="623"/>
      <c r="B9" s="632"/>
      <c r="C9" s="622"/>
      <c r="D9" s="622"/>
      <c r="E9" s="621" t="s">
        <v>453</v>
      </c>
      <c r="F9" s="621" t="s">
        <v>720</v>
      </c>
      <c r="G9" s="619" t="s">
        <v>721</v>
      </c>
      <c r="H9" s="619" t="s">
        <v>722</v>
      </c>
      <c r="I9" s="619" t="s">
        <v>723</v>
      </c>
      <c r="J9" s="619" t="s">
        <v>724</v>
      </c>
      <c r="K9" s="621" t="s">
        <v>454</v>
      </c>
      <c r="L9" s="619" t="s">
        <v>455</v>
      </c>
      <c r="M9" s="619" t="s">
        <v>456</v>
      </c>
      <c r="N9" s="619" t="s">
        <v>457</v>
      </c>
      <c r="O9" s="619" t="s">
        <v>458</v>
      </c>
      <c r="P9" s="625" t="s">
        <v>459</v>
      </c>
      <c r="Q9" s="625" t="s">
        <v>460</v>
      </c>
      <c r="R9" s="619" t="s">
        <v>730</v>
      </c>
      <c r="S9" s="619" t="s">
        <v>731</v>
      </c>
      <c r="T9" s="97" t="e">
        <f t="shared" ref="T9:Z9" si="0">K12-T10</f>
        <v>#REF!</v>
      </c>
      <c r="U9" s="97" t="e">
        <f t="shared" si="0"/>
        <v>#REF!</v>
      </c>
      <c r="V9" s="97" t="e">
        <f t="shared" si="0"/>
        <v>#REF!</v>
      </c>
      <c r="W9" s="97" t="e">
        <f t="shared" si="0"/>
        <v>#REF!</v>
      </c>
      <c r="X9" s="97" t="e">
        <f t="shared" si="0"/>
        <v>#REF!</v>
      </c>
      <c r="Y9" s="97" t="e">
        <f t="shared" si="0"/>
        <v>#REF!</v>
      </c>
      <c r="Z9" s="97" t="e">
        <f t="shared" si="0"/>
        <v>#REF!</v>
      </c>
    </row>
    <row r="10" spans="1:30" ht="16.5" customHeight="1">
      <c r="A10" s="407" t="s">
        <v>732</v>
      </c>
      <c r="B10" s="407" t="s">
        <v>733</v>
      </c>
      <c r="C10" s="622"/>
      <c r="D10" s="622"/>
      <c r="E10" s="622"/>
      <c r="F10" s="622"/>
      <c r="G10" s="620"/>
      <c r="H10" s="620"/>
      <c r="I10" s="620"/>
      <c r="J10" s="620"/>
      <c r="K10" s="622"/>
      <c r="L10" s="620"/>
      <c r="M10" s="620"/>
      <c r="N10" s="620"/>
      <c r="O10" s="620"/>
      <c r="P10" s="626"/>
      <c r="Q10" s="626"/>
      <c r="R10" s="620"/>
      <c r="S10" s="620"/>
      <c r="T10" s="97" t="e">
        <f>T21+T30+T39+T48+T57+T66</f>
        <v>#REF!</v>
      </c>
      <c r="U10" s="97" t="e">
        <f>U21+U30+U39+U48+U57+U66</f>
        <v>#REF!</v>
      </c>
      <c r="V10" s="97" t="e">
        <f>V21+V30+V39+V48+V57+V66</f>
        <v>#REF!</v>
      </c>
      <c r="W10" s="97" t="e">
        <f>'[3]5 (2)'!U11</f>
        <v>#REF!</v>
      </c>
      <c r="X10" s="97" t="e">
        <f>X21+X30+X39+X48+X57+X66</f>
        <v>#REF!</v>
      </c>
      <c r="Y10" s="97" t="e">
        <f>Y21+Y30+Y39+Y48+Y57+Y66</f>
        <v>#REF!</v>
      </c>
      <c r="Z10" s="97" t="e">
        <f>'[3]5 (2)'!X11</f>
        <v>#REF!</v>
      </c>
    </row>
    <row r="11" spans="1:30" ht="14.1" customHeight="1">
      <c r="A11" s="627" t="s">
        <v>736</v>
      </c>
      <c r="B11" s="633"/>
      <c r="C11" s="616" t="s">
        <v>461</v>
      </c>
      <c r="D11" s="408" t="s">
        <v>109</v>
      </c>
      <c r="E11" s="409">
        <f>SUM(K11:Q11)</f>
        <v>3644977.9819200002</v>
      </c>
      <c r="F11" s="410" t="e">
        <f t="shared" ref="F11:S11" si="1">F12+F18+F19</f>
        <v>#REF!</v>
      </c>
      <c r="G11" s="410" t="e">
        <f t="shared" si="1"/>
        <v>#REF!</v>
      </c>
      <c r="H11" s="410">
        <f t="shared" si="1"/>
        <v>406626</v>
      </c>
      <c r="I11" s="410">
        <f t="shared" si="1"/>
        <v>485126.19999999995</v>
      </c>
      <c r="J11" s="410" t="e">
        <f t="shared" si="1"/>
        <v>#REF!</v>
      </c>
      <c r="K11" s="411">
        <f t="shared" si="1"/>
        <v>426603.00591999997</v>
      </c>
      <c r="L11" s="410">
        <f t="shared" si="1"/>
        <v>497242.77600000001</v>
      </c>
      <c r="M11" s="410">
        <f t="shared" si="1"/>
        <v>483773.6</v>
      </c>
      <c r="N11" s="410">
        <f t="shared" si="1"/>
        <v>619659.1</v>
      </c>
      <c r="O11" s="410">
        <f t="shared" si="1"/>
        <v>585201.10000000009</v>
      </c>
      <c r="P11" s="412">
        <f t="shared" si="1"/>
        <v>516588.60000000003</v>
      </c>
      <c r="Q11" s="412">
        <f t="shared" si="1"/>
        <v>515909.80000000005</v>
      </c>
      <c r="R11" s="412">
        <f t="shared" si="1"/>
        <v>541619.99210000003</v>
      </c>
      <c r="S11" s="412">
        <f t="shared" si="1"/>
        <v>568692.81558129995</v>
      </c>
      <c r="T11" s="124">
        <v>2020</v>
      </c>
      <c r="U11">
        <v>2021</v>
      </c>
      <c r="V11">
        <v>2022</v>
      </c>
      <c r="W11">
        <v>2023</v>
      </c>
      <c r="X11">
        <v>2024</v>
      </c>
      <c r="Y11">
        <v>2025</v>
      </c>
      <c r="Z11">
        <v>2026</v>
      </c>
    </row>
    <row r="12" spans="1:30" ht="22.5">
      <c r="A12" s="628"/>
      <c r="B12" s="634"/>
      <c r="C12" s="612"/>
      <c r="D12" s="413" t="s">
        <v>462</v>
      </c>
      <c r="E12" s="414">
        <f>SUM(K12:Q12)</f>
        <v>3543599.28192</v>
      </c>
      <c r="F12" s="415" t="e">
        <f t="shared" ref="F12:S12" si="2">F14+F15+F16+F17</f>
        <v>#REF!</v>
      </c>
      <c r="G12" s="415" t="e">
        <f t="shared" si="2"/>
        <v>#REF!</v>
      </c>
      <c r="H12" s="415">
        <f t="shared" si="2"/>
        <v>389764</v>
      </c>
      <c r="I12" s="415">
        <f t="shared" si="2"/>
        <v>466310.89999999997</v>
      </c>
      <c r="J12" s="415" t="e">
        <f t="shared" si="2"/>
        <v>#REF!</v>
      </c>
      <c r="K12" s="416">
        <f t="shared" si="2"/>
        <v>411692.80591999996</v>
      </c>
      <c r="L12" s="416">
        <f t="shared" si="2"/>
        <v>481688.77600000001</v>
      </c>
      <c r="M12" s="415">
        <f t="shared" si="2"/>
        <v>469590.69999999995</v>
      </c>
      <c r="N12" s="415">
        <f t="shared" si="2"/>
        <v>605476.19999999995</v>
      </c>
      <c r="O12" s="415">
        <f t="shared" si="2"/>
        <v>571018.20000000007</v>
      </c>
      <c r="P12" s="417">
        <f t="shared" si="2"/>
        <v>502405.7</v>
      </c>
      <c r="Q12" s="417">
        <f t="shared" si="2"/>
        <v>501726.9</v>
      </c>
      <c r="R12" s="417">
        <f t="shared" si="2"/>
        <v>527437.09210000001</v>
      </c>
      <c r="S12" s="417">
        <f t="shared" si="2"/>
        <v>554509.91558129992</v>
      </c>
      <c r="T12" s="124" t="e">
        <f>'[2]5'!R11</f>
        <v>#REF!</v>
      </c>
      <c r="U12" s="124" t="e">
        <f>'[2]5'!S11</f>
        <v>#REF!</v>
      </c>
      <c r="V12" s="124" t="e">
        <f>'[2]5'!T11</f>
        <v>#REF!</v>
      </c>
      <c r="W12" s="124" t="e">
        <f>'[2]5'!U11</f>
        <v>#REF!</v>
      </c>
      <c r="X12" s="124" t="e">
        <f>'[2]5'!V11</f>
        <v>#REF!</v>
      </c>
      <c r="Y12" s="124" t="e">
        <f>'[2]5'!W11</f>
        <v>#REF!</v>
      </c>
      <c r="Z12" s="124" t="e">
        <f>'[2]5'!X11</f>
        <v>#REF!</v>
      </c>
      <c r="AA12" s="124"/>
      <c r="AB12" s="124"/>
      <c r="AC12" s="124"/>
      <c r="AD12" s="124"/>
    </row>
    <row r="13" spans="1:30" ht="14.1" customHeight="1">
      <c r="A13" s="628"/>
      <c r="B13" s="634"/>
      <c r="C13" s="612"/>
      <c r="D13" s="418" t="s">
        <v>463</v>
      </c>
      <c r="E13" s="414">
        <f>SUM(K13:P13)</f>
        <v>0</v>
      </c>
      <c r="F13" s="415"/>
      <c r="G13" s="415"/>
      <c r="H13" s="415"/>
      <c r="I13" s="415"/>
      <c r="J13" s="415"/>
      <c r="K13" s="416"/>
      <c r="L13" s="415"/>
      <c r="M13" s="415"/>
      <c r="N13" s="415"/>
      <c r="O13" s="415"/>
      <c r="P13" s="417"/>
      <c r="Q13" s="417"/>
      <c r="R13" s="415"/>
      <c r="S13" s="419"/>
      <c r="T13" s="124" t="e">
        <f t="shared" ref="T13:Z13" si="3">T12-K12</f>
        <v>#REF!</v>
      </c>
      <c r="U13" s="124" t="e">
        <f t="shared" si="3"/>
        <v>#REF!</v>
      </c>
      <c r="V13" s="124" t="e">
        <f t="shared" si="3"/>
        <v>#REF!</v>
      </c>
      <c r="W13" s="124" t="e">
        <f t="shared" si="3"/>
        <v>#REF!</v>
      </c>
      <c r="X13" s="124" t="e">
        <f t="shared" si="3"/>
        <v>#REF!</v>
      </c>
      <c r="Y13" s="124" t="e">
        <f t="shared" si="3"/>
        <v>#REF!</v>
      </c>
      <c r="Z13" s="124" t="e">
        <f t="shared" si="3"/>
        <v>#REF!</v>
      </c>
    </row>
    <row r="14" spans="1:30" ht="15" customHeight="1">
      <c r="A14" s="628"/>
      <c r="B14" s="634"/>
      <c r="C14" s="612"/>
      <c r="D14" s="418" t="s">
        <v>464</v>
      </c>
      <c r="E14" s="414">
        <f t="shared" ref="E14:E21" si="4">SUM(K14:Q14)</f>
        <v>742253.77891999995</v>
      </c>
      <c r="F14" s="415" t="e">
        <f t="shared" ref="F14:S17" si="5">F23+F32+F41+F50+F59+F68</f>
        <v>#REF!</v>
      </c>
      <c r="G14" s="415" t="e">
        <f t="shared" si="5"/>
        <v>#REF!</v>
      </c>
      <c r="H14" s="415">
        <f t="shared" si="5"/>
        <v>116251.59999999999</v>
      </c>
      <c r="I14" s="415">
        <f t="shared" si="5"/>
        <v>129110.6</v>
      </c>
      <c r="J14" s="415" t="e">
        <f t="shared" si="5"/>
        <v>#REF!</v>
      </c>
      <c r="K14" s="416">
        <f t="shared" si="5"/>
        <v>105684.57892</v>
      </c>
      <c r="L14" s="416">
        <f t="shared" si="5"/>
        <v>83595.200000000012</v>
      </c>
      <c r="M14" s="415">
        <f t="shared" si="5"/>
        <v>88954</v>
      </c>
      <c r="N14" s="415">
        <f t="shared" si="5"/>
        <v>123652.9</v>
      </c>
      <c r="O14" s="415">
        <f t="shared" si="5"/>
        <v>116279</v>
      </c>
      <c r="P14" s="417">
        <f t="shared" si="5"/>
        <v>110985</v>
      </c>
      <c r="Q14" s="417">
        <f t="shared" si="5"/>
        <v>113103.1</v>
      </c>
      <c r="R14" s="417">
        <f t="shared" si="5"/>
        <v>117771.3799</v>
      </c>
      <c r="S14" s="417">
        <f t="shared" si="5"/>
        <v>123170.9233347</v>
      </c>
      <c r="T14" s="124"/>
    </row>
    <row r="15" spans="1:30" ht="14.25" customHeight="1">
      <c r="A15" s="628"/>
      <c r="B15" s="634"/>
      <c r="C15" s="612"/>
      <c r="D15" s="418" t="s">
        <v>465</v>
      </c>
      <c r="E15" s="414">
        <f t="shared" si="4"/>
        <v>117283.799</v>
      </c>
      <c r="F15" s="415">
        <f t="shared" si="5"/>
        <v>27983.5</v>
      </c>
      <c r="G15" s="415">
        <f t="shared" si="5"/>
        <v>7788.0999999999995</v>
      </c>
      <c r="H15" s="415">
        <f t="shared" si="5"/>
        <v>8289.2999999999993</v>
      </c>
      <c r="I15" s="415">
        <f t="shared" si="5"/>
        <v>34600.199999999997</v>
      </c>
      <c r="J15" s="415" t="e">
        <f t="shared" si="5"/>
        <v>#REF!</v>
      </c>
      <c r="K15" s="416">
        <f t="shared" si="5"/>
        <v>7605.8230000000003</v>
      </c>
      <c r="L15" s="415">
        <f t="shared" si="5"/>
        <v>15256.376</v>
      </c>
      <c r="M15" s="415">
        <f t="shared" si="5"/>
        <v>14659</v>
      </c>
      <c r="N15" s="415">
        <f t="shared" si="5"/>
        <v>28813</v>
      </c>
      <c r="O15" s="415">
        <f t="shared" si="5"/>
        <v>30091.800000000003</v>
      </c>
      <c r="P15" s="417">
        <f t="shared" si="5"/>
        <v>11413.800000000001</v>
      </c>
      <c r="Q15" s="417">
        <f t="shared" si="5"/>
        <v>9444</v>
      </c>
      <c r="R15" s="417">
        <f t="shared" si="5"/>
        <v>9943.8323999999993</v>
      </c>
      <c r="S15" s="417">
        <f t="shared" si="5"/>
        <v>10470.155917199998</v>
      </c>
      <c r="T15" s="124"/>
    </row>
    <row r="16" spans="1:30" ht="15" customHeight="1">
      <c r="A16" s="628"/>
      <c r="B16" s="634"/>
      <c r="C16" s="612"/>
      <c r="D16" s="418" t="s">
        <v>466</v>
      </c>
      <c r="E16" s="414">
        <f t="shared" si="4"/>
        <v>2543760.3040000005</v>
      </c>
      <c r="F16" s="415">
        <f>F25+F34+F43+F52+F61</f>
        <v>231986.90000000002</v>
      </c>
      <c r="G16" s="415">
        <f t="shared" si="5"/>
        <v>263566</v>
      </c>
      <c r="H16" s="415">
        <f t="shared" si="5"/>
        <v>264993.5</v>
      </c>
      <c r="I16" s="415">
        <f t="shared" si="5"/>
        <v>302600.09999999998</v>
      </c>
      <c r="J16" s="415" t="e">
        <f t="shared" si="5"/>
        <v>#REF!</v>
      </c>
      <c r="K16" s="416">
        <f t="shared" si="5"/>
        <v>298214.304</v>
      </c>
      <c r="L16" s="415">
        <f t="shared" si="5"/>
        <v>326312.5</v>
      </c>
      <c r="M16" s="415">
        <f t="shared" si="5"/>
        <v>343548.1</v>
      </c>
      <c r="N16" s="415">
        <f t="shared" si="5"/>
        <v>392553.10000000003</v>
      </c>
      <c r="O16" s="415">
        <f t="shared" si="5"/>
        <v>423945.60000000003</v>
      </c>
      <c r="P16" s="417">
        <f t="shared" si="5"/>
        <v>380006.9</v>
      </c>
      <c r="Q16" s="417">
        <f t="shared" si="5"/>
        <v>379179.80000000005</v>
      </c>
      <c r="R16" s="417">
        <f t="shared" si="5"/>
        <v>399721.8798</v>
      </c>
      <c r="S16" s="417">
        <f t="shared" si="5"/>
        <v>420868.83632939996</v>
      </c>
      <c r="T16" s="124"/>
    </row>
    <row r="17" spans="1:26" ht="24.75" customHeight="1">
      <c r="A17" s="628"/>
      <c r="B17" s="634"/>
      <c r="C17" s="612"/>
      <c r="D17" s="418" t="s">
        <v>467</v>
      </c>
      <c r="E17" s="414">
        <f t="shared" si="4"/>
        <v>140301.39999999997</v>
      </c>
      <c r="F17" s="415">
        <f>F26+F35+F44+F53+F62</f>
        <v>254</v>
      </c>
      <c r="G17" s="415">
        <f>G26+G35+G44+G53+G62</f>
        <v>1028.5999999999999</v>
      </c>
      <c r="H17" s="415">
        <f t="shared" si="5"/>
        <v>229.6</v>
      </c>
      <c r="I17" s="415">
        <f t="shared" si="5"/>
        <v>0</v>
      </c>
      <c r="J17" s="415" t="e">
        <f t="shared" si="5"/>
        <v>#REF!</v>
      </c>
      <c r="K17" s="416">
        <f t="shared" si="5"/>
        <v>188.1</v>
      </c>
      <c r="L17" s="415">
        <f t="shared" si="5"/>
        <v>56524.7</v>
      </c>
      <c r="M17" s="415">
        <f t="shared" si="5"/>
        <v>22429.599999999999</v>
      </c>
      <c r="N17" s="415">
        <f t="shared" si="5"/>
        <v>60457.2</v>
      </c>
      <c r="O17" s="415">
        <f t="shared" si="5"/>
        <v>701.8</v>
      </c>
      <c r="P17" s="417">
        <f t="shared" si="5"/>
        <v>0</v>
      </c>
      <c r="Q17" s="417">
        <f t="shared" si="5"/>
        <v>0</v>
      </c>
      <c r="R17" s="417">
        <f t="shared" si="5"/>
        <v>0</v>
      </c>
      <c r="S17" s="417">
        <f t="shared" si="5"/>
        <v>0</v>
      </c>
      <c r="T17" s="124"/>
    </row>
    <row r="18" spans="1:26" ht="27" customHeight="1">
      <c r="A18" s="628"/>
      <c r="B18" s="634"/>
      <c r="C18" s="612"/>
      <c r="D18" s="420" t="s">
        <v>468</v>
      </c>
      <c r="E18" s="414">
        <f t="shared" si="4"/>
        <v>0</v>
      </c>
      <c r="F18" s="415">
        <f>F27+F36+F45+F54+F63</f>
        <v>0</v>
      </c>
      <c r="G18" s="415">
        <f>G27+G36+G45+G54+G63</f>
        <v>0</v>
      </c>
      <c r="H18" s="415">
        <f t="shared" ref="H18:S19" si="6">H27+H36+H45+H54+H63</f>
        <v>0</v>
      </c>
      <c r="I18" s="415">
        <f t="shared" si="6"/>
        <v>0</v>
      </c>
      <c r="J18" s="415">
        <f t="shared" si="6"/>
        <v>0</v>
      </c>
      <c r="K18" s="416">
        <f t="shared" si="6"/>
        <v>0</v>
      </c>
      <c r="L18" s="415">
        <f t="shared" si="6"/>
        <v>0</v>
      </c>
      <c r="M18" s="415">
        <f t="shared" si="6"/>
        <v>0</v>
      </c>
      <c r="N18" s="415">
        <f t="shared" si="6"/>
        <v>0</v>
      </c>
      <c r="O18" s="415">
        <f t="shared" si="6"/>
        <v>0</v>
      </c>
      <c r="P18" s="417">
        <f t="shared" si="6"/>
        <v>0</v>
      </c>
      <c r="Q18" s="417">
        <f t="shared" si="6"/>
        <v>0</v>
      </c>
      <c r="R18" s="417">
        <f t="shared" si="6"/>
        <v>0</v>
      </c>
      <c r="S18" s="417">
        <f t="shared" si="6"/>
        <v>0</v>
      </c>
      <c r="T18" s="124"/>
    </row>
    <row r="19" spans="1:26" ht="14.1" customHeight="1">
      <c r="A19" s="629"/>
      <c r="B19" s="635"/>
      <c r="C19" s="617"/>
      <c r="D19" s="421" t="s">
        <v>469</v>
      </c>
      <c r="E19" s="422">
        <f t="shared" si="4"/>
        <v>101378.7</v>
      </c>
      <c r="F19" s="423">
        <f>F28+F37+F46+F55+F64</f>
        <v>16066.3</v>
      </c>
      <c r="G19" s="423">
        <f>G28+G37+G46+G55+G64</f>
        <v>16118.2</v>
      </c>
      <c r="H19" s="423">
        <f t="shared" si="6"/>
        <v>16862</v>
      </c>
      <c r="I19" s="423">
        <f t="shared" si="6"/>
        <v>18815.3</v>
      </c>
      <c r="J19" s="423">
        <f t="shared" si="6"/>
        <v>20487.608</v>
      </c>
      <c r="K19" s="424">
        <f t="shared" si="6"/>
        <v>14910.2</v>
      </c>
      <c r="L19" s="423">
        <f t="shared" si="6"/>
        <v>15554.000000000002</v>
      </c>
      <c r="M19" s="423">
        <f t="shared" si="6"/>
        <v>14182.9</v>
      </c>
      <c r="N19" s="423">
        <f t="shared" si="6"/>
        <v>14182.9</v>
      </c>
      <c r="O19" s="423">
        <f t="shared" si="6"/>
        <v>14182.9</v>
      </c>
      <c r="P19" s="425">
        <f t="shared" si="6"/>
        <v>14182.9</v>
      </c>
      <c r="Q19" s="425">
        <f t="shared" si="6"/>
        <v>14182.9</v>
      </c>
      <c r="R19" s="425">
        <f t="shared" si="6"/>
        <v>14182.9</v>
      </c>
      <c r="S19" s="425">
        <f t="shared" si="6"/>
        <v>14182.9</v>
      </c>
      <c r="T19" s="124"/>
    </row>
    <row r="20" spans="1:26" ht="14.1" customHeight="1">
      <c r="A20" s="628" t="s">
        <v>736</v>
      </c>
      <c r="B20" s="634" t="s">
        <v>737</v>
      </c>
      <c r="C20" s="612" t="s">
        <v>738</v>
      </c>
      <c r="D20" s="426" t="s">
        <v>109</v>
      </c>
      <c r="E20" s="427">
        <f t="shared" si="4"/>
        <v>896407.26991999999</v>
      </c>
      <c r="F20" s="427">
        <f t="shared" ref="F20:S20" si="7">F21+F27+F28</f>
        <v>92603.1</v>
      </c>
      <c r="G20" s="427">
        <f t="shared" si="7"/>
        <v>89247.500000000015</v>
      </c>
      <c r="H20" s="427">
        <f t="shared" si="7"/>
        <v>88948.200000000012</v>
      </c>
      <c r="I20" s="427">
        <f t="shared" si="7"/>
        <v>97946.5</v>
      </c>
      <c r="J20" s="427" t="e">
        <f t="shared" si="7"/>
        <v>#REF!</v>
      </c>
      <c r="K20" s="428">
        <f t="shared" si="7"/>
        <v>98559.069920000009</v>
      </c>
      <c r="L20" s="427">
        <f t="shared" si="7"/>
        <v>166459.09999999998</v>
      </c>
      <c r="M20" s="427">
        <f t="shared" si="7"/>
        <v>116883</v>
      </c>
      <c r="N20" s="427">
        <f t="shared" si="7"/>
        <v>130200.1</v>
      </c>
      <c r="O20" s="427">
        <f t="shared" si="7"/>
        <v>139489.19999999998</v>
      </c>
      <c r="P20" s="429">
        <f t="shared" si="7"/>
        <v>122317</v>
      </c>
      <c r="Q20" s="429">
        <f t="shared" si="7"/>
        <v>122499.8</v>
      </c>
      <c r="R20" s="429">
        <f t="shared" si="7"/>
        <v>128632.95999999999</v>
      </c>
      <c r="S20" s="429">
        <f t="shared" si="7"/>
        <v>135091.17747999998</v>
      </c>
      <c r="T20" s="124"/>
    </row>
    <row r="21" spans="1:26" ht="22.5">
      <c r="A21" s="628"/>
      <c r="B21" s="634"/>
      <c r="C21" s="612"/>
      <c r="D21" s="413" t="s">
        <v>462</v>
      </c>
      <c r="E21" s="414">
        <f t="shared" si="4"/>
        <v>849602.96991999994</v>
      </c>
      <c r="F21" s="430">
        <f t="shared" ref="F21:S21" si="8">F23+F24+F25+F26</f>
        <v>82980.100000000006</v>
      </c>
      <c r="G21" s="430">
        <f t="shared" si="8"/>
        <v>79405.900000000009</v>
      </c>
      <c r="H21" s="430">
        <f t="shared" si="8"/>
        <v>79168.600000000006</v>
      </c>
      <c r="I21" s="430">
        <f t="shared" si="8"/>
        <v>87905.600000000006</v>
      </c>
      <c r="J21" s="430" t="e">
        <f t="shared" si="8"/>
        <v>#REF!</v>
      </c>
      <c r="K21" s="431">
        <f t="shared" si="8"/>
        <v>92425.269920000006</v>
      </c>
      <c r="L21" s="430">
        <f t="shared" si="8"/>
        <v>159687.59999999998</v>
      </c>
      <c r="M21" s="430">
        <f t="shared" si="8"/>
        <v>110103.2</v>
      </c>
      <c r="N21" s="430">
        <f t="shared" si="8"/>
        <v>123420.3</v>
      </c>
      <c r="O21" s="430">
        <f t="shared" si="8"/>
        <v>132709.4</v>
      </c>
      <c r="P21" s="432">
        <f t="shared" si="8"/>
        <v>115537.2</v>
      </c>
      <c r="Q21" s="432">
        <f t="shared" si="8"/>
        <v>115720</v>
      </c>
      <c r="R21" s="432">
        <f t="shared" si="8"/>
        <v>121853.15999999999</v>
      </c>
      <c r="S21" s="432">
        <f t="shared" si="8"/>
        <v>128311.37747999998</v>
      </c>
      <c r="T21" s="124"/>
      <c r="U21" s="124" t="e">
        <f>'[2]5'!S20</f>
        <v>#REF!</v>
      </c>
      <c r="V21" s="124" t="e">
        <f>'[2]5'!T20</f>
        <v>#REF!</v>
      </c>
      <c r="W21" s="124" t="e">
        <f>'[3]5 (2)'!U20</f>
        <v>#REF!</v>
      </c>
      <c r="X21" s="124" t="e">
        <f>'[2]5'!V20</f>
        <v>#REF!</v>
      </c>
      <c r="Y21" s="124" t="e">
        <f>'[2]5'!W20</f>
        <v>#REF!</v>
      </c>
      <c r="Z21" t="e">
        <f>'[3]5 (2)'!X22</f>
        <v>#REF!</v>
      </c>
    </row>
    <row r="22" spans="1:26" ht="14.1" customHeight="1">
      <c r="A22" s="628"/>
      <c r="B22" s="634"/>
      <c r="C22" s="612"/>
      <c r="D22" s="418" t="s">
        <v>463</v>
      </c>
      <c r="E22" s="414">
        <f>SUM(K22:P22)</f>
        <v>0</v>
      </c>
      <c r="F22" s="430"/>
      <c r="G22" s="430"/>
      <c r="H22" s="430"/>
      <c r="I22" s="430"/>
      <c r="J22" s="430"/>
      <c r="K22" s="431"/>
      <c r="L22" s="430"/>
      <c r="M22" s="430"/>
      <c r="N22" s="430"/>
      <c r="O22" s="430"/>
      <c r="P22" s="432"/>
      <c r="Q22" s="432"/>
      <c r="R22" s="430"/>
      <c r="S22" s="430"/>
      <c r="T22" s="124">
        <f t="shared" ref="T22:Z22" si="9">T21-K21</f>
        <v>-92425.269920000006</v>
      </c>
      <c r="U22" s="124" t="e">
        <f t="shared" si="9"/>
        <v>#REF!</v>
      </c>
      <c r="V22" s="124" t="e">
        <f t="shared" si="9"/>
        <v>#REF!</v>
      </c>
      <c r="W22" s="124" t="e">
        <f t="shared" si="9"/>
        <v>#REF!</v>
      </c>
      <c r="X22" s="124" t="e">
        <f t="shared" si="9"/>
        <v>#REF!</v>
      </c>
      <c r="Y22" s="124" t="e">
        <f t="shared" si="9"/>
        <v>#REF!</v>
      </c>
      <c r="Z22" s="124" t="e">
        <f t="shared" si="9"/>
        <v>#REF!</v>
      </c>
    </row>
    <row r="23" spans="1:26" ht="14.25" customHeight="1">
      <c r="A23" s="628"/>
      <c r="B23" s="634"/>
      <c r="C23" s="612"/>
      <c r="D23" s="418" t="s">
        <v>464</v>
      </c>
      <c r="E23" s="414">
        <f>SUM(K23:Q23)</f>
        <v>107202.46992</v>
      </c>
      <c r="F23" s="430">
        <f>23802.6-5000</f>
        <v>18802.599999999999</v>
      </c>
      <c r="G23" s="430">
        <f>14147.1+300+126.7+526</f>
        <v>15099.800000000001</v>
      </c>
      <c r="H23" s="430">
        <v>15909.6</v>
      </c>
      <c r="I23" s="430">
        <v>14625.3</v>
      </c>
      <c r="J23" s="430" t="e">
        <f>'[4]5 '!Q22+'[4]5 '!Q27+'[4]5 '!Q29+25</f>
        <v>#REF!</v>
      </c>
      <c r="K23" s="431">
        <f>'[1]5 '!R30+'[1]5 '!R42</f>
        <v>14268.46992</v>
      </c>
      <c r="L23" s="431">
        <f>'[1]5 '!S30+'[1]5 '!S42</f>
        <v>17368.7</v>
      </c>
      <c r="M23" s="431">
        <f>'[1]5 '!T31+'[1]5 '!T32</f>
        <v>15557.2</v>
      </c>
      <c r="N23" s="431">
        <f>'[1]5 '!U31+'[1]5 '!U42</f>
        <v>16876.600000000002</v>
      </c>
      <c r="O23" s="431">
        <f>'[1]5 '!V31</f>
        <v>15308.9</v>
      </c>
      <c r="P23" s="431">
        <f>'[1]5 '!W31</f>
        <v>13911.3</v>
      </c>
      <c r="Q23" s="431">
        <f>'[1]5 '!X31</f>
        <v>13911.3</v>
      </c>
      <c r="R23" s="431">
        <f>'[1]5 '!Y31</f>
        <v>14648.598899999999</v>
      </c>
      <c r="S23" s="431">
        <f>'[1]5 '!Z31</f>
        <v>15424.974641699999</v>
      </c>
      <c r="T23" s="124"/>
    </row>
    <row r="24" spans="1:26" ht="15" customHeight="1">
      <c r="A24" s="628"/>
      <c r="B24" s="634"/>
      <c r="C24" s="612"/>
      <c r="D24" s="418" t="s">
        <v>465</v>
      </c>
      <c r="E24" s="414">
        <f>SUM(K24:Q24)</f>
        <v>0</v>
      </c>
      <c r="F24" s="430">
        <f>1947.5+216.4+200</f>
        <v>2363.9</v>
      </c>
      <c r="G24" s="430"/>
      <c r="H24" s="430">
        <v>794.9</v>
      </c>
      <c r="I24" s="430">
        <v>502.5</v>
      </c>
      <c r="J24" s="430" t="e">
        <f>'[4]5 '!Q23+'[4]5 '!Q24+'[4]5 '!Q25+'[4]5 '!Q32-J26-25</f>
        <v>#REF!</v>
      </c>
      <c r="K24" s="431">
        <v>0</v>
      </c>
      <c r="L24" s="431">
        <v>0</v>
      </c>
      <c r="M24" s="431">
        <v>0</v>
      </c>
      <c r="N24" s="431">
        <v>0</v>
      </c>
      <c r="O24" s="431">
        <v>0</v>
      </c>
      <c r="P24" s="431">
        <v>0</v>
      </c>
      <c r="Q24" s="433">
        <v>0</v>
      </c>
      <c r="R24" s="431">
        <f>'[1]5 '!Y47</f>
        <v>0</v>
      </c>
      <c r="S24" s="431">
        <f>'[1]5 '!Z47</f>
        <v>0</v>
      </c>
      <c r="T24" s="124" t="e">
        <f>'[5]5 '!R23+'[5]5 '!R24+'[5]5 '!R25+'[5]5 '!R29+'[5]5 '!R31</f>
        <v>#REF!</v>
      </c>
      <c r="U24" s="97" t="e">
        <f>J24+J26</f>
        <v>#REF!</v>
      </c>
    </row>
    <row r="25" spans="1:26" ht="14.25" customHeight="1">
      <c r="A25" s="628"/>
      <c r="B25" s="634"/>
      <c r="C25" s="612"/>
      <c r="D25" s="418" t="s">
        <v>466</v>
      </c>
      <c r="E25" s="414">
        <f>SUM(K25:Q25)</f>
        <v>681021.89999999991</v>
      </c>
      <c r="F25" s="430">
        <f>62450-636.4</f>
        <v>61813.599999999999</v>
      </c>
      <c r="G25" s="430">
        <v>63277.5</v>
      </c>
      <c r="H25" s="430">
        <v>62464.1</v>
      </c>
      <c r="I25" s="430">
        <v>72777.8</v>
      </c>
      <c r="J25" s="430" t="e">
        <f>'[4]5 '!Q21</f>
        <v>#REF!</v>
      </c>
      <c r="K25" s="431">
        <f>'[1]5 '!R28</f>
        <v>78156.800000000003</v>
      </c>
      <c r="L25" s="431">
        <f>'[1]5 '!S28</f>
        <v>85932.9</v>
      </c>
      <c r="M25" s="431">
        <f>'[1]5 '!T29</f>
        <v>89553.4</v>
      </c>
      <c r="N25" s="431">
        <f>'[1]5 '!U29</f>
        <v>106543.7</v>
      </c>
      <c r="O25" s="431">
        <f>'[1]5 '!V29</f>
        <v>117400.5</v>
      </c>
      <c r="P25" s="431">
        <f>'[1]5 '!W29</f>
        <v>101625.9</v>
      </c>
      <c r="Q25" s="431">
        <f>'[1]5 '!X29</f>
        <v>101808.7</v>
      </c>
      <c r="R25" s="431">
        <f>'[1]5 '!Y29</f>
        <v>107204.56109999999</v>
      </c>
      <c r="S25" s="431">
        <f>'[1]5 '!Z29</f>
        <v>112886.40283829998</v>
      </c>
      <c r="T25" s="124" t="s">
        <v>470</v>
      </c>
    </row>
    <row r="26" spans="1:26" ht="27" customHeight="1">
      <c r="A26" s="628"/>
      <c r="B26" s="634"/>
      <c r="C26" s="612"/>
      <c r="D26" s="418" t="s">
        <v>467</v>
      </c>
      <c r="E26" s="414">
        <f>SUM(K26:Q26)</f>
        <v>61378.6</v>
      </c>
      <c r="F26" s="430"/>
      <c r="G26" s="430">
        <f>130.8+897.8</f>
        <v>1028.5999999999999</v>
      </c>
      <c r="H26" s="430"/>
      <c r="I26" s="430"/>
      <c r="J26" s="430">
        <v>51497.4</v>
      </c>
      <c r="K26" s="431"/>
      <c r="L26" s="430">
        <f>'[1]5 '!S39</f>
        <v>56386</v>
      </c>
      <c r="M26" s="430">
        <f>'[1]5 '!T37</f>
        <v>4992.6000000000004</v>
      </c>
      <c r="N26" s="430">
        <v>0</v>
      </c>
      <c r="O26" s="430"/>
      <c r="P26" s="430"/>
      <c r="Q26" s="432"/>
      <c r="R26" s="430"/>
      <c r="S26" s="430"/>
      <c r="T26" s="124"/>
    </row>
    <row r="27" spans="1:26" ht="24" customHeight="1">
      <c r="A27" s="628"/>
      <c r="B27" s="634"/>
      <c r="C27" s="612"/>
      <c r="D27" s="420" t="s">
        <v>468</v>
      </c>
      <c r="E27" s="414">
        <f>SUM(K27:P27)</f>
        <v>0</v>
      </c>
      <c r="F27" s="430"/>
      <c r="G27" s="430"/>
      <c r="H27" s="430"/>
      <c r="I27" s="430"/>
      <c r="J27" s="430"/>
      <c r="K27" s="431"/>
      <c r="L27" s="430"/>
      <c r="M27" s="430"/>
      <c r="N27" s="430"/>
      <c r="O27" s="430"/>
      <c r="P27" s="432"/>
      <c r="Q27" s="432"/>
      <c r="R27" s="430"/>
      <c r="S27" s="430"/>
      <c r="T27" s="124"/>
    </row>
    <row r="28" spans="1:26" ht="14.1" customHeight="1">
      <c r="A28" s="628"/>
      <c r="B28" s="634"/>
      <c r="C28" s="612"/>
      <c r="D28" s="434" t="s">
        <v>469</v>
      </c>
      <c r="E28" s="435">
        <f>SUM(K28:Q28)</f>
        <v>46804.3</v>
      </c>
      <c r="F28" s="436">
        <v>9623</v>
      </c>
      <c r="G28" s="436">
        <v>9841.6</v>
      </c>
      <c r="H28" s="436">
        <v>9779.6</v>
      </c>
      <c r="I28" s="436">
        <v>10040.9</v>
      </c>
      <c r="J28" s="436">
        <v>8222.9429999999993</v>
      </c>
      <c r="K28" s="437">
        <v>6133.8</v>
      </c>
      <c r="L28" s="437">
        <v>6771.5</v>
      </c>
      <c r="M28" s="437">
        <v>6779.8</v>
      </c>
      <c r="N28" s="437">
        <v>6779.8</v>
      </c>
      <c r="O28" s="437">
        <v>6779.8</v>
      </c>
      <c r="P28" s="438">
        <v>6779.8</v>
      </c>
      <c r="Q28" s="438">
        <v>6779.8</v>
      </c>
      <c r="R28" s="438">
        <v>6779.8</v>
      </c>
      <c r="S28" s="438">
        <v>6779.8</v>
      </c>
      <c r="T28" s="124"/>
    </row>
    <row r="29" spans="1:26" ht="14.1" customHeight="1">
      <c r="A29" s="627" t="s">
        <v>736</v>
      </c>
      <c r="B29" s="633" t="s">
        <v>757</v>
      </c>
      <c r="C29" s="616" t="s">
        <v>758</v>
      </c>
      <c r="D29" s="408" t="s">
        <v>109</v>
      </c>
      <c r="E29" s="409">
        <f>SUM(K29:Q29)</f>
        <v>2333337.6190000004</v>
      </c>
      <c r="F29" s="410">
        <f t="shared" ref="F29:S29" si="10">F30+F36+F37</f>
        <v>237582.9</v>
      </c>
      <c r="G29" s="410">
        <f t="shared" si="10"/>
        <v>237200.8</v>
      </c>
      <c r="H29" s="410">
        <f t="shared" si="10"/>
        <v>241491.6</v>
      </c>
      <c r="I29" s="410">
        <f t="shared" si="10"/>
        <v>295010.19999999995</v>
      </c>
      <c r="J29" s="410" t="e">
        <f t="shared" si="10"/>
        <v>#REF!</v>
      </c>
      <c r="K29" s="411">
        <f t="shared" si="10"/>
        <v>259873.41900000002</v>
      </c>
      <c r="L29" s="410">
        <f t="shared" si="10"/>
        <v>294910.40000000002</v>
      </c>
      <c r="M29" s="410">
        <f t="shared" si="10"/>
        <v>331628.40000000002</v>
      </c>
      <c r="N29" s="410">
        <f t="shared" si="10"/>
        <v>411860.80000000005</v>
      </c>
      <c r="O29" s="410">
        <f t="shared" si="10"/>
        <v>369265.10000000003</v>
      </c>
      <c r="P29" s="412">
        <f t="shared" si="10"/>
        <v>334122.60000000003</v>
      </c>
      <c r="Q29" s="412">
        <f t="shared" si="10"/>
        <v>331676.90000000002</v>
      </c>
      <c r="R29" s="412">
        <f t="shared" si="10"/>
        <v>348993.32500000001</v>
      </c>
      <c r="S29" s="412">
        <f t="shared" si="10"/>
        <v>367227.520525</v>
      </c>
      <c r="T29" s="124"/>
    </row>
    <row r="30" spans="1:26" ht="22.5">
      <c r="A30" s="628"/>
      <c r="B30" s="634"/>
      <c r="C30" s="612"/>
      <c r="D30" s="413" t="s">
        <v>471</v>
      </c>
      <c r="E30" s="414">
        <f>SUM(K30:Q30)</f>
        <v>2297547.219</v>
      </c>
      <c r="F30" s="430">
        <f>F32+F33+F34+F35</f>
        <v>232594</v>
      </c>
      <c r="G30" s="430">
        <f>G32+G33+G34+G35</f>
        <v>232135.3</v>
      </c>
      <c r="H30" s="430">
        <f>H32+H33+H34+H35</f>
        <v>236432.7</v>
      </c>
      <c r="I30" s="430">
        <f>I32+I33+I34+I35</f>
        <v>288844.89999999997</v>
      </c>
      <c r="J30" s="430" t="e">
        <f>J32+J33+J34+J35</f>
        <v>#REF!</v>
      </c>
      <c r="K30" s="431">
        <f>K32+K33+K34+K35+K36</f>
        <v>254289.21900000001</v>
      </c>
      <c r="L30" s="430">
        <f t="shared" ref="L30:S30" si="11">L32+L33+L34+L35</f>
        <v>289397.7</v>
      </c>
      <c r="M30" s="430">
        <f t="shared" si="11"/>
        <v>326689.7</v>
      </c>
      <c r="N30" s="430">
        <f t="shared" si="11"/>
        <v>406922.10000000003</v>
      </c>
      <c r="O30" s="430">
        <f t="shared" si="11"/>
        <v>364326.40000000002</v>
      </c>
      <c r="P30" s="432">
        <f t="shared" si="11"/>
        <v>329183.90000000002</v>
      </c>
      <c r="Q30" s="432">
        <f t="shared" si="11"/>
        <v>326738.2</v>
      </c>
      <c r="R30" s="432">
        <f t="shared" si="11"/>
        <v>344054.625</v>
      </c>
      <c r="S30" s="432">
        <f t="shared" si="11"/>
        <v>362288.82052499999</v>
      </c>
      <c r="T30" s="124" t="e">
        <f>'[3]5 (2)'!R57</f>
        <v>#REF!</v>
      </c>
      <c r="U30" s="124" t="e">
        <f>'[3]5 (2)'!S57</f>
        <v>#REF!</v>
      </c>
      <c r="V30" s="124" t="e">
        <f>'[3]5 (2)'!T57</f>
        <v>#REF!</v>
      </c>
      <c r="W30" s="124" t="e">
        <f>'[3]5 (2)'!U57</f>
        <v>#REF!</v>
      </c>
      <c r="X30" s="124" t="e">
        <f>'[3]5 (2)'!V57</f>
        <v>#REF!</v>
      </c>
      <c r="Y30" s="124" t="e">
        <f>'[3]5 (2)'!W57</f>
        <v>#REF!</v>
      </c>
      <c r="Z30" s="124" t="e">
        <f>'[3]5 (2)'!X57</f>
        <v>#REF!</v>
      </c>
    </row>
    <row r="31" spans="1:26" ht="14.1" customHeight="1">
      <c r="A31" s="628"/>
      <c r="B31" s="634"/>
      <c r="C31" s="612"/>
      <c r="D31" s="418" t="s">
        <v>463</v>
      </c>
      <c r="E31" s="414">
        <f>SUM(K31:P31)</f>
        <v>0</v>
      </c>
      <c r="F31" s="430"/>
      <c r="G31" s="430"/>
      <c r="H31" s="430"/>
      <c r="I31" s="430"/>
      <c r="J31" s="430"/>
      <c r="K31" s="431"/>
      <c r="L31" s="430"/>
      <c r="M31" s="430"/>
      <c r="N31" s="430"/>
      <c r="O31" s="430"/>
      <c r="P31" s="432"/>
      <c r="Q31" s="432"/>
      <c r="R31" s="430"/>
      <c r="S31" s="439"/>
      <c r="T31" s="124" t="e">
        <f t="shared" ref="T31:Z31" si="12">T30-K30</f>
        <v>#REF!</v>
      </c>
      <c r="U31" s="124" t="e">
        <f t="shared" si="12"/>
        <v>#REF!</v>
      </c>
      <c r="V31" s="124" t="e">
        <f t="shared" si="12"/>
        <v>#REF!</v>
      </c>
      <c r="W31" s="124" t="e">
        <f t="shared" si="12"/>
        <v>#REF!</v>
      </c>
      <c r="X31" s="124" t="e">
        <f t="shared" si="12"/>
        <v>#REF!</v>
      </c>
      <c r="Y31" s="124" t="e">
        <f t="shared" si="12"/>
        <v>#REF!</v>
      </c>
      <c r="Z31" s="124" t="e">
        <f t="shared" si="12"/>
        <v>#REF!</v>
      </c>
    </row>
    <row r="32" spans="1:26" ht="15" customHeight="1">
      <c r="A32" s="628"/>
      <c r="B32" s="634"/>
      <c r="C32" s="612"/>
      <c r="D32" s="418" t="s">
        <v>472</v>
      </c>
      <c r="E32" s="414">
        <f>SUM(K32:Q32)</f>
        <v>284009.88700000005</v>
      </c>
      <c r="F32" s="430">
        <f>42010.7-5463.6</f>
        <v>36547.1</v>
      </c>
      <c r="G32" s="430">
        <f>20111.2+1270.1+8003.5+15</f>
        <v>29399.8</v>
      </c>
      <c r="H32" s="430">
        <v>32121.4</v>
      </c>
      <c r="I32" s="430">
        <f>29658.5+1958.1</f>
        <v>31616.6</v>
      </c>
      <c r="J32" s="430" t="e">
        <f>'[4]5 '!Q39+'[4]5 '!Q46+'[4]5 '!Q47+'[4]5 '!Q60+'[4]5 '!Q63+'[4]5 '!Q64+'[4]5 '!Q65+'[4]5 '!Q72+'[4]5 '!Q73+'[4]5 '!Q75+8.3+8.9</f>
        <v>#REF!</v>
      </c>
      <c r="K32" s="430">
        <f>'[1]5 '!R70+'[1]5 '!R84+'[1]5 '!R103+'[1]5 '!R128+'[1]5 '!R132+'[1]5 '!R134+'[1]5 '!R136</f>
        <v>30007.387000000002</v>
      </c>
      <c r="L32" s="430">
        <f>'[1]5 '!S70+'[1]5 '!S84+'[1]5 '!S103+'[1]5 '!S128+'[1]5 '!S132+'[1]5 '!S134+'[1]5 '!S136</f>
        <v>39765.300000000003</v>
      </c>
      <c r="M32" s="430">
        <f>'[1]5 '!T71+'[1]5 '!T85+'[1]5 '!T86+'[1]5 '!T87+'[1]5 '!T90+'[1]5 '!T91+'[1]5 '!T105+'[1]5 '!T129+'[1]5 '!T133+'[1]5 '!T135+'[1]5 '!T137</f>
        <v>44437.80000000001</v>
      </c>
      <c r="N32" s="430">
        <v>46322.6</v>
      </c>
      <c r="O32" s="430">
        <v>41955.4</v>
      </c>
      <c r="P32" s="430">
        <f>'[1]5 '!W71+'[1]5 '!W85+'[1]5 '!W86+'[1]5 '!W87+'[1]5 '!W90+'[1]5 '!W91+'[1]5 '!W105+'[1]5 '!W129+'[1]5 '!W133+'[1]5 '!W135+'[1]5 '!W137</f>
        <v>40760.699999999997</v>
      </c>
      <c r="Q32" s="430">
        <f>'[1]5 '!X71+'[1]5 '!X85+'[1]5 '!X86+'[1]5 '!X87+'[1]5 '!X90+'[1]5 '!X91+'[1]5 '!X105+'[1]5 '!X129+'[1]5 '!X133+'[1]5 '!X135+'[1]5 '!X137</f>
        <v>40760.699999999997</v>
      </c>
      <c r="R32" s="430">
        <f>'[1]5 '!Y71+'[1]5 '!Y85+'[1]5 '!Y86+'[1]5 '!Y87+'[1]5 '!Y90+'[1]5 '!Y91+'[1]5 '!Y105+'[1]5 '!Y129+'[1]5 '!Y133+'[1]5 '!Y135+'[1]5 '!Y137</f>
        <v>42921.017099999997</v>
      </c>
      <c r="S32" s="430">
        <f>'[1]5 '!Z71+'[1]5 '!Z85+'[1]5 '!Z86+'[1]5 '!Z87+'[1]5 '!Z90+'[1]5 '!Z91+'[1]5 '!Z105+'[1]5 '!Z129+'[1]5 '!Z133+'[1]5 '!Z135+'[1]5 '!Z137</f>
        <v>45195.831006299995</v>
      </c>
      <c r="T32" s="124"/>
    </row>
    <row r="33" spans="1:26" ht="13.5" customHeight="1">
      <c r="A33" s="628"/>
      <c r="B33" s="634"/>
      <c r="C33" s="612"/>
      <c r="D33" s="418" t="s">
        <v>465</v>
      </c>
      <c r="E33" s="414">
        <f>SUM(K33:Q33)</f>
        <v>76687.732000000004</v>
      </c>
      <c r="F33" s="430">
        <f>24619.6+1000</f>
        <v>25619.599999999999</v>
      </c>
      <c r="G33" s="430">
        <f>2064+1035.1+2321.3</f>
        <v>5420.4</v>
      </c>
      <c r="H33" s="430">
        <f>951+4221</f>
        <v>5172</v>
      </c>
      <c r="I33" s="430">
        <f>6987.7+23783.8</f>
        <v>30771.5</v>
      </c>
      <c r="J33" s="430" t="e">
        <f>'[4]5 '!Q52+'[4]5 '!Q53+'[4]5 '!Q56+'[4]5 '!Q62+'[4]5 '!Q71+'[4]5 '!Q77+'[4]5 '!Q78-8.3-8.9</f>
        <v>#REF!</v>
      </c>
      <c r="K33" s="430">
        <f>'[1]5 '!R115+'[1]5 '!R164+'[1]5 '!R111+'[1]5 '!R102+'[1]5 '!R75</f>
        <v>5078.732</v>
      </c>
      <c r="L33" s="430">
        <f>'[1]5 '!S115+'[1]5 '!S164+'[1]5 '!S111+'[1]5 '!S102+'[1]5 '!S75</f>
        <v>10083.5</v>
      </c>
      <c r="M33" s="430">
        <f>'[1]5 '!T76+'[1]5 '!T102+'[1]5 '!T112+'[1]5 '!T116</f>
        <v>11553.2</v>
      </c>
      <c r="N33" s="430">
        <f>'[1]5 '!U76+'[1]5 '!U102+'[1]5 '!U112+'[1]5 '!U116</f>
        <v>14913.6</v>
      </c>
      <c r="O33" s="430">
        <f>'[1]5 '!V116+'[1]5 '!V164+'[1]5 '!V112+'[1]5 '!V102+'[1]5 '!V76</f>
        <v>15532.800000000001</v>
      </c>
      <c r="P33" s="430">
        <f>'[1]5 '!W88+'[1]5 '!W97+'[1]5 '!W101+'[1]5 '!W112+'[1]5 '!W114+'[1]5 '!W116+'[1]5 '!W147+'[1]5 '!W154+'[1]5 '!W102+'[1]5 '!W153</f>
        <v>10656.300000000001</v>
      </c>
      <c r="Q33" s="430">
        <f>'[1]5 '!X88+'[1]5 '!X97+'[1]5 '!X101+'[1]5 '!X112+'[1]5 '!X114+'[1]5 '!X116+'[1]5 '!X147+'[1]5 '!X154+'[1]5 '!X102+'[1]5 '!X153</f>
        <v>8869.6</v>
      </c>
      <c r="R33" s="430">
        <f>'[1]5 '!Y88+'[1]5 '!Y97+'[1]5 '!Y101+'[1]5 '!Y112+'[1]5 '!Y114+'[1]5 '!Y116+'[1]5 '!Y147+'[1]5 '!Y154+'[1]5 '!Y102+'[1]5 '!Y153</f>
        <v>9338.9892</v>
      </c>
      <c r="S33" s="430">
        <f>'[1]5 '!Z88+'[1]5 '!Z97+'[1]5 '!Z101+'[1]5 '!Z112+'[1]5 '!Z114+'[1]5 '!Z116+'[1]5 '!Z147+'[1]5 '!Z154+'[1]5 '!Z102+'[1]5 '!Z153</f>
        <v>9833.2560275999986</v>
      </c>
      <c r="T33" s="124" t="s">
        <v>473</v>
      </c>
    </row>
    <row r="34" spans="1:26" ht="14.25" customHeight="1">
      <c r="A34" s="628"/>
      <c r="B34" s="634"/>
      <c r="C34" s="612"/>
      <c r="D34" s="418" t="s">
        <v>466</v>
      </c>
      <c r="E34" s="414">
        <f>SUM(K34:Q34)</f>
        <v>1858274.0999999996</v>
      </c>
      <c r="F34" s="430">
        <f>191772.7-15000-2000-4599.4</f>
        <v>170173.30000000002</v>
      </c>
      <c r="G34" s="430">
        <f>169492.4+27822.7</f>
        <v>197315.1</v>
      </c>
      <c r="H34" s="430">
        <f>171882.2+27257.1</f>
        <v>199139.30000000002</v>
      </c>
      <c r="I34" s="430">
        <v>226456.8</v>
      </c>
      <c r="J34" s="430" t="e">
        <f>'[4]5 '!Q37+'[4]5 '!Q43</f>
        <v>#REF!</v>
      </c>
      <c r="K34" s="430">
        <f>'[1]5 '!R66</f>
        <v>219203.1</v>
      </c>
      <c r="L34" s="430">
        <f>'[1]5 '!S66</f>
        <v>239548.9</v>
      </c>
      <c r="M34" s="430">
        <f>'[1]5 '!T67</f>
        <v>253282.2</v>
      </c>
      <c r="N34" s="430">
        <v>285228.7</v>
      </c>
      <c r="O34" s="430">
        <f>'[1]5 '!V67</f>
        <v>306136.40000000002</v>
      </c>
      <c r="P34" s="430">
        <f>'[1]5 '!W67</f>
        <v>277766.90000000002</v>
      </c>
      <c r="Q34" s="430">
        <f>'[1]5 '!X67</f>
        <v>277107.90000000002</v>
      </c>
      <c r="R34" s="430">
        <f>'[1]5 '!Y67</f>
        <v>291794.61869999999</v>
      </c>
      <c r="S34" s="430">
        <f>'[1]5 '!Z67</f>
        <v>307259.73349109996</v>
      </c>
      <c r="T34" s="125" t="s">
        <v>474</v>
      </c>
    </row>
    <row r="35" spans="1:26" ht="25.5" customHeight="1">
      <c r="A35" s="628"/>
      <c r="B35" s="634"/>
      <c r="C35" s="612"/>
      <c r="D35" s="418" t="s">
        <v>467</v>
      </c>
      <c r="E35" s="414">
        <f>SUM(K35:Q35)</f>
        <v>78575.5</v>
      </c>
      <c r="F35" s="430">
        <v>254</v>
      </c>
      <c r="G35" s="430"/>
      <c r="H35" s="430"/>
      <c r="I35" s="430"/>
      <c r="J35" s="430" t="e">
        <f>'[4]5 '!Q41</f>
        <v>#REF!</v>
      </c>
      <c r="K35" s="430">
        <f>'[1]5 '!R69+'[1]5 '!R154+'[1]5 '!R155</f>
        <v>0</v>
      </c>
      <c r="L35" s="430">
        <f>'[1]5 '!S69+'[1]5 '!S154+'[1]5 '!S155</f>
        <v>0</v>
      </c>
      <c r="M35" s="430">
        <f>'[1]5 '!T69+'[1]5 '!T154+'[1]5 '!T155</f>
        <v>17416.5</v>
      </c>
      <c r="N35" s="430">
        <f>'[1]5 '!U69+'[1]5 '!U154+'[1]5 '!U155</f>
        <v>60457.2</v>
      </c>
      <c r="O35" s="430">
        <f>'[1]5 '!V69+'[1]5 '!V97</f>
        <v>701.8</v>
      </c>
      <c r="P35" s="430"/>
      <c r="Q35" s="432"/>
      <c r="R35" s="430"/>
      <c r="S35" s="439"/>
      <c r="T35" s="125" t="s">
        <v>475</v>
      </c>
    </row>
    <row r="36" spans="1:26" ht="24.75" customHeight="1">
      <c r="A36" s="628"/>
      <c r="B36" s="634"/>
      <c r="C36" s="612"/>
      <c r="D36" s="420" t="s">
        <v>468</v>
      </c>
      <c r="E36" s="414">
        <f>SUM(K36:P36)</f>
        <v>0</v>
      </c>
      <c r="F36" s="430"/>
      <c r="G36" s="430"/>
      <c r="H36" s="430"/>
      <c r="I36" s="430"/>
      <c r="J36" s="430"/>
      <c r="K36" s="431"/>
      <c r="L36" s="430"/>
      <c r="M36" s="430"/>
      <c r="N36" s="430"/>
      <c r="O36" s="430"/>
      <c r="P36" s="432"/>
      <c r="Q36" s="432"/>
      <c r="R36" s="430"/>
      <c r="S36" s="439"/>
      <c r="T36" s="124"/>
    </row>
    <row r="37" spans="1:26" ht="14.1" customHeight="1">
      <c r="A37" s="629"/>
      <c r="B37" s="635"/>
      <c r="C37" s="617"/>
      <c r="D37" s="421" t="s">
        <v>469</v>
      </c>
      <c r="E37" s="422">
        <f>SUM(K37:Q37)</f>
        <v>35790.400000000001</v>
      </c>
      <c r="F37" s="440">
        <v>4988.8999999999996</v>
      </c>
      <c r="G37" s="440">
        <f>5652.1-586.6</f>
        <v>5065.5</v>
      </c>
      <c r="H37" s="440">
        <f>4971.5+1395.2-1307.8</f>
        <v>5058.8999999999996</v>
      </c>
      <c r="I37" s="440">
        <v>6165.3</v>
      </c>
      <c r="J37" s="440">
        <v>8944.8150000000005</v>
      </c>
      <c r="K37" s="441">
        <v>5584.2</v>
      </c>
      <c r="L37" s="441">
        <v>5512.7</v>
      </c>
      <c r="M37" s="441">
        <f t="shared" ref="M37:S37" si="13">5520.2-581.5</f>
        <v>4938.7</v>
      </c>
      <c r="N37" s="441">
        <f t="shared" si="13"/>
        <v>4938.7</v>
      </c>
      <c r="O37" s="441">
        <f t="shared" si="13"/>
        <v>4938.7</v>
      </c>
      <c r="P37" s="442">
        <f t="shared" si="13"/>
        <v>4938.7</v>
      </c>
      <c r="Q37" s="442">
        <f t="shared" si="13"/>
        <v>4938.7</v>
      </c>
      <c r="R37" s="442">
        <f t="shared" si="13"/>
        <v>4938.7</v>
      </c>
      <c r="S37" s="442">
        <f t="shared" si="13"/>
        <v>4938.7</v>
      </c>
      <c r="T37" s="124"/>
    </row>
    <row r="38" spans="1:26" ht="15" customHeight="1">
      <c r="A38" s="628" t="s">
        <v>736</v>
      </c>
      <c r="B38" s="634" t="s">
        <v>780</v>
      </c>
      <c r="C38" s="612" t="s">
        <v>476</v>
      </c>
      <c r="D38" s="426" t="s">
        <v>109</v>
      </c>
      <c r="E38" s="427">
        <f>SUM(K38:Q38)</f>
        <v>213143.80500000002</v>
      </c>
      <c r="F38" s="443" t="e">
        <f t="shared" ref="F38:S38" si="14">F39+F45+F46</f>
        <v>#REF!</v>
      </c>
      <c r="G38" s="443">
        <f t="shared" si="14"/>
        <v>25008.400000000001</v>
      </c>
      <c r="H38" s="443">
        <f t="shared" si="14"/>
        <v>27420.2</v>
      </c>
      <c r="I38" s="443">
        <f t="shared" si="14"/>
        <v>30707.199999999997</v>
      </c>
      <c r="J38" s="443" t="e">
        <f t="shared" si="14"/>
        <v>#REF!</v>
      </c>
      <c r="K38" s="444">
        <f t="shared" si="14"/>
        <v>29132.804999999997</v>
      </c>
      <c r="L38" s="443">
        <f t="shared" si="14"/>
        <v>29293.199999999997</v>
      </c>
      <c r="M38" s="443">
        <f t="shared" si="14"/>
        <v>30368.900000000005</v>
      </c>
      <c r="N38" s="443">
        <f t="shared" si="14"/>
        <v>36465.5</v>
      </c>
      <c r="O38" s="443">
        <f t="shared" si="14"/>
        <v>29803.300000000003</v>
      </c>
      <c r="P38" s="445">
        <f t="shared" si="14"/>
        <v>28407.100000000002</v>
      </c>
      <c r="Q38" s="445">
        <f t="shared" si="14"/>
        <v>29673.000000000004</v>
      </c>
      <c r="R38" s="445">
        <f t="shared" si="14"/>
        <v>30986.414200000003</v>
      </c>
      <c r="S38" s="445">
        <f t="shared" si="14"/>
        <v>32369.439352600002</v>
      </c>
      <c r="T38" s="124"/>
    </row>
    <row r="39" spans="1:26" ht="22.5">
      <c r="A39" s="628"/>
      <c r="B39" s="634"/>
      <c r="C39" s="612"/>
      <c r="D39" s="413" t="s">
        <v>462</v>
      </c>
      <c r="E39" s="414">
        <f>SUM(K39:Q39)</f>
        <v>199409.20500000002</v>
      </c>
      <c r="F39" s="430" t="e">
        <f t="shared" ref="F39:S39" si="15">F41+F42+F43</f>
        <v>#REF!</v>
      </c>
      <c r="G39" s="430">
        <f t="shared" si="15"/>
        <v>24433.9</v>
      </c>
      <c r="H39" s="430">
        <f t="shared" si="15"/>
        <v>26704.5</v>
      </c>
      <c r="I39" s="430">
        <f t="shared" si="15"/>
        <v>29593.599999999999</v>
      </c>
      <c r="J39" s="430" t="e">
        <f t="shared" si="15"/>
        <v>#REF!</v>
      </c>
      <c r="K39" s="431">
        <f t="shared" si="15"/>
        <v>26985.304999999997</v>
      </c>
      <c r="L39" s="430">
        <f t="shared" si="15"/>
        <v>27120.6</v>
      </c>
      <c r="M39" s="430">
        <f t="shared" si="15"/>
        <v>28486.000000000004</v>
      </c>
      <c r="N39" s="430">
        <f t="shared" si="15"/>
        <v>34582.6</v>
      </c>
      <c r="O39" s="430">
        <f t="shared" si="15"/>
        <v>27920.400000000001</v>
      </c>
      <c r="P39" s="432">
        <f t="shared" si="15"/>
        <v>26524.2</v>
      </c>
      <c r="Q39" s="432">
        <f t="shared" si="15"/>
        <v>27790.100000000002</v>
      </c>
      <c r="R39" s="432">
        <f t="shared" si="15"/>
        <v>29103.514200000001</v>
      </c>
      <c r="S39" s="432">
        <f t="shared" si="15"/>
        <v>30486.539352600001</v>
      </c>
      <c r="T39" s="124" t="e">
        <f>'[2]5'!R152</f>
        <v>#REF!</v>
      </c>
      <c r="U39" s="124" t="e">
        <f>'[2]5'!S152</f>
        <v>#REF!</v>
      </c>
      <c r="V39" s="124" t="e">
        <f>'[2]5'!T152</f>
        <v>#REF!</v>
      </c>
      <c r="W39" s="124" t="e">
        <f>'[3]5 (2)'!U156</f>
        <v>#REF!</v>
      </c>
      <c r="X39" s="124" t="e">
        <f>'[2]5'!V152</f>
        <v>#REF!</v>
      </c>
      <c r="Y39" s="124" t="e">
        <f>'[2]5'!W152</f>
        <v>#REF!</v>
      </c>
      <c r="Z39" t="e">
        <f>'[3]5 (2)'!X156</f>
        <v>#REF!</v>
      </c>
    </row>
    <row r="40" spans="1:26">
      <c r="A40" s="628"/>
      <c r="B40" s="634"/>
      <c r="C40" s="612"/>
      <c r="D40" s="418" t="s">
        <v>463</v>
      </c>
      <c r="E40" s="414">
        <f>SUM(K40:P40)</f>
        <v>0</v>
      </c>
      <c r="F40" s="415"/>
      <c r="G40" s="415"/>
      <c r="H40" s="415"/>
      <c r="I40" s="415"/>
      <c r="J40" s="415"/>
      <c r="K40" s="416"/>
      <c r="L40" s="415"/>
      <c r="M40" s="415"/>
      <c r="N40" s="415"/>
      <c r="O40" s="415"/>
      <c r="P40" s="417"/>
      <c r="Q40" s="417"/>
      <c r="R40" s="415"/>
      <c r="S40" s="415"/>
      <c r="T40" s="124" t="e">
        <f t="shared" ref="T40:Z40" si="16">T39-K39</f>
        <v>#REF!</v>
      </c>
      <c r="U40" s="124" t="e">
        <f t="shared" si="16"/>
        <v>#REF!</v>
      </c>
      <c r="V40" s="124" t="e">
        <f t="shared" si="16"/>
        <v>#REF!</v>
      </c>
      <c r="W40" s="124" t="e">
        <f t="shared" si="16"/>
        <v>#REF!</v>
      </c>
      <c r="X40" s="124" t="e">
        <f t="shared" si="16"/>
        <v>#REF!</v>
      </c>
      <c r="Y40" s="124" t="e">
        <f t="shared" si="16"/>
        <v>#REF!</v>
      </c>
      <c r="Z40" s="124" t="e">
        <f t="shared" si="16"/>
        <v>#REF!</v>
      </c>
    </row>
    <row r="41" spans="1:26">
      <c r="A41" s="628"/>
      <c r="B41" s="634"/>
      <c r="C41" s="612"/>
      <c r="D41" s="418" t="s">
        <v>464</v>
      </c>
      <c r="E41" s="414">
        <f>SUM(K41:Q41)</f>
        <v>199409.20500000002</v>
      </c>
      <c r="F41" s="415" t="e">
        <f>'[6]5 '!N70</f>
        <v>#REF!</v>
      </c>
      <c r="G41" s="415">
        <f>18858.9+5575</f>
        <v>24433.9</v>
      </c>
      <c r="H41" s="415">
        <f>20635.7+6068.8</f>
        <v>26704.5</v>
      </c>
      <c r="I41" s="415">
        <v>29593.599999999999</v>
      </c>
      <c r="J41" s="415" t="e">
        <f>'[4]5 '!Q82+'[4]5 '!Q83+'[4]5 '!Q85+'[4]5 '!Q88+'[4]5 '!Q89+'[4]5 '!Q90+'[4]5 '!Q93+'[4]5 '!Q95</f>
        <v>#REF!</v>
      </c>
      <c r="K41" s="446">
        <f>'[1]5 '!R171</f>
        <v>26985.304999999997</v>
      </c>
      <c r="L41" s="446">
        <f>'[1]5 '!S171</f>
        <v>27120.6</v>
      </c>
      <c r="M41" s="446">
        <f>'[1]5 '!T171</f>
        <v>28486.000000000004</v>
      </c>
      <c r="N41" s="446">
        <f>'[1]5 '!U171</f>
        <v>34582.6</v>
      </c>
      <c r="O41" s="446">
        <f>'[1]5 '!V178+'[1]5 '!V205</f>
        <v>27920.400000000001</v>
      </c>
      <c r="P41" s="446">
        <f>'[1]5 '!W178+'[1]5 '!W205</f>
        <v>26524.2</v>
      </c>
      <c r="Q41" s="446">
        <f>'[1]5 '!X178+'[1]5 '!X205</f>
        <v>27790.100000000002</v>
      </c>
      <c r="R41" s="446">
        <f>'[1]5 '!Y178+'[1]5 '!Y205</f>
        <v>29103.514200000001</v>
      </c>
      <c r="S41" s="446">
        <f>'[1]5 '!Z178+'[1]5 '!Z205</f>
        <v>30486.539352600001</v>
      </c>
      <c r="T41" s="124"/>
      <c r="W41" s="97"/>
    </row>
    <row r="42" spans="1:26" ht="14.25" customHeight="1">
      <c r="A42" s="628"/>
      <c r="B42" s="634"/>
      <c r="C42" s="612"/>
      <c r="D42" s="418" t="s">
        <v>465</v>
      </c>
      <c r="E42" s="414">
        <f>SUM(K42:P42)</f>
        <v>0</v>
      </c>
      <c r="F42" s="415"/>
      <c r="G42" s="415">
        <v>0</v>
      </c>
      <c r="H42" s="415">
        <v>0</v>
      </c>
      <c r="I42" s="415">
        <v>0</v>
      </c>
      <c r="J42" s="415" t="e">
        <f>'[4]5 '!Q92</f>
        <v>#REF!</v>
      </c>
      <c r="K42" s="416">
        <v>0</v>
      </c>
      <c r="L42" s="416">
        <v>0</v>
      </c>
      <c r="M42" s="416">
        <v>0</v>
      </c>
      <c r="N42" s="416">
        <v>0</v>
      </c>
      <c r="O42" s="416">
        <v>0</v>
      </c>
      <c r="P42" s="447">
        <v>0</v>
      </c>
      <c r="Q42" s="447">
        <v>0</v>
      </c>
      <c r="R42" s="447">
        <v>0</v>
      </c>
      <c r="S42" s="447">
        <v>0</v>
      </c>
      <c r="T42" s="124"/>
    </row>
    <row r="43" spans="1:26" ht="13.5" customHeight="1">
      <c r="A43" s="628"/>
      <c r="B43" s="634"/>
      <c r="C43" s="612"/>
      <c r="D43" s="418" t="s">
        <v>466</v>
      </c>
      <c r="E43" s="414">
        <f>SUM(K43:P43)</f>
        <v>0</v>
      </c>
      <c r="F43" s="415"/>
      <c r="G43" s="415"/>
      <c r="H43" s="415"/>
      <c r="I43" s="415"/>
      <c r="J43" s="415"/>
      <c r="K43" s="416"/>
      <c r="L43" s="415"/>
      <c r="M43" s="415"/>
      <c r="N43" s="415"/>
      <c r="O43" s="415"/>
      <c r="P43" s="417"/>
      <c r="Q43" s="417"/>
      <c r="R43" s="415"/>
      <c r="S43" s="415"/>
      <c r="T43" s="124"/>
    </row>
    <row r="44" spans="1:26" ht="24.75" customHeight="1">
      <c r="A44" s="628"/>
      <c r="B44" s="634"/>
      <c r="C44" s="612"/>
      <c r="D44" s="418" t="s">
        <v>467</v>
      </c>
      <c r="E44" s="414">
        <f>SUM(K44:P44)</f>
        <v>0</v>
      </c>
      <c r="F44" s="415"/>
      <c r="G44" s="415"/>
      <c r="H44" s="415"/>
      <c r="I44" s="415"/>
      <c r="J44" s="415"/>
      <c r="K44" s="416"/>
      <c r="L44" s="415"/>
      <c r="M44" s="415"/>
      <c r="N44" s="415"/>
      <c r="O44" s="415"/>
      <c r="P44" s="417"/>
      <c r="Q44" s="417"/>
      <c r="R44" s="415"/>
      <c r="S44" s="415"/>
      <c r="T44" s="124"/>
    </row>
    <row r="45" spans="1:26" ht="22.5">
      <c r="A45" s="628"/>
      <c r="B45" s="634"/>
      <c r="C45" s="612"/>
      <c r="D45" s="420" t="s">
        <v>468</v>
      </c>
      <c r="E45" s="414">
        <f>SUM(K45:P45)</f>
        <v>0</v>
      </c>
      <c r="F45" s="415"/>
      <c r="G45" s="415"/>
      <c r="H45" s="415"/>
      <c r="I45" s="415"/>
      <c r="J45" s="415"/>
      <c r="K45" s="416"/>
      <c r="L45" s="415"/>
      <c r="M45" s="415"/>
      <c r="N45" s="415"/>
      <c r="O45" s="415"/>
      <c r="P45" s="417"/>
      <c r="Q45" s="417"/>
      <c r="R45" s="415"/>
      <c r="S45" s="415"/>
      <c r="T45" s="124"/>
    </row>
    <row r="46" spans="1:26">
      <c r="A46" s="628"/>
      <c r="B46" s="634"/>
      <c r="C46" s="612"/>
      <c r="D46" s="434" t="s">
        <v>469</v>
      </c>
      <c r="E46" s="435">
        <f>SUM(K46:Q46)</f>
        <v>13734.599999999999</v>
      </c>
      <c r="F46" s="448">
        <f>398.1+429.7</f>
        <v>827.8</v>
      </c>
      <c r="G46" s="448">
        <v>574.5</v>
      </c>
      <c r="H46" s="448">
        <f>358.3+357.4</f>
        <v>715.7</v>
      </c>
      <c r="I46" s="436">
        <v>1113.5999999999999</v>
      </c>
      <c r="J46" s="436">
        <v>2158.25</v>
      </c>
      <c r="K46" s="437">
        <v>2147.5</v>
      </c>
      <c r="L46" s="437">
        <v>2172.6</v>
      </c>
      <c r="M46" s="437">
        <v>1882.9</v>
      </c>
      <c r="N46" s="437">
        <v>1882.9</v>
      </c>
      <c r="O46" s="437">
        <v>1882.9</v>
      </c>
      <c r="P46" s="438">
        <v>1882.9</v>
      </c>
      <c r="Q46" s="438">
        <v>1882.9</v>
      </c>
      <c r="R46" s="438">
        <v>1882.9</v>
      </c>
      <c r="S46" s="438">
        <v>1882.9</v>
      </c>
      <c r="T46" s="124"/>
    </row>
    <row r="47" spans="1:26" ht="15" customHeight="1">
      <c r="A47" s="627" t="s">
        <v>736</v>
      </c>
      <c r="B47" s="633" t="s">
        <v>803</v>
      </c>
      <c r="C47" s="613" t="s">
        <v>804</v>
      </c>
      <c r="D47" s="408" t="s">
        <v>109</v>
      </c>
      <c r="E47" s="409">
        <f>SUM(K47:Q47)</f>
        <v>6963.5</v>
      </c>
      <c r="F47" s="449" t="e">
        <f t="shared" ref="F47:S47" si="17">F48+F55</f>
        <v>#REF!</v>
      </c>
      <c r="G47" s="449" t="e">
        <f t="shared" si="17"/>
        <v>#REF!</v>
      </c>
      <c r="H47" s="449">
        <f t="shared" si="17"/>
        <v>1264.5</v>
      </c>
      <c r="I47" s="449">
        <f t="shared" si="17"/>
        <v>1105.8999999999999</v>
      </c>
      <c r="J47" s="449" t="e">
        <f t="shared" si="17"/>
        <v>#REF!</v>
      </c>
      <c r="K47" s="450">
        <f t="shared" si="17"/>
        <v>2046.4</v>
      </c>
      <c r="L47" s="449">
        <f t="shared" si="17"/>
        <v>1689.6</v>
      </c>
      <c r="M47" s="449">
        <f t="shared" si="17"/>
        <v>1039.6999999999998</v>
      </c>
      <c r="N47" s="449">
        <f t="shared" si="17"/>
        <v>2187.8000000000002</v>
      </c>
      <c r="O47" s="449">
        <f t="shared" si="17"/>
        <v>0</v>
      </c>
      <c r="P47" s="451">
        <f t="shared" si="17"/>
        <v>0</v>
      </c>
      <c r="Q47" s="451">
        <f t="shared" si="17"/>
        <v>0</v>
      </c>
      <c r="R47" s="451">
        <f t="shared" si="17"/>
        <v>0</v>
      </c>
      <c r="S47" s="451">
        <f t="shared" si="17"/>
        <v>0</v>
      </c>
      <c r="T47" s="124"/>
    </row>
    <row r="48" spans="1:26" ht="22.5">
      <c r="A48" s="628"/>
      <c r="B48" s="634"/>
      <c r="C48" s="614"/>
      <c r="D48" s="413" t="s">
        <v>462</v>
      </c>
      <c r="E48" s="414">
        <f>SUM(K48:Q48)</f>
        <v>6963.5</v>
      </c>
      <c r="F48" s="322" t="e">
        <f t="shared" ref="F48:S48" si="18">F50+F51</f>
        <v>#REF!</v>
      </c>
      <c r="G48" s="322" t="e">
        <f t="shared" si="18"/>
        <v>#REF!</v>
      </c>
      <c r="H48" s="322">
        <f t="shared" si="18"/>
        <v>1264.5</v>
      </c>
      <c r="I48" s="322">
        <f t="shared" si="18"/>
        <v>1105.8999999999999</v>
      </c>
      <c r="J48" s="322" t="e">
        <f t="shared" si="18"/>
        <v>#REF!</v>
      </c>
      <c r="K48" s="452">
        <f t="shared" si="18"/>
        <v>2046.4</v>
      </c>
      <c r="L48" s="322">
        <f t="shared" si="18"/>
        <v>1689.6</v>
      </c>
      <c r="M48" s="322">
        <f t="shared" si="18"/>
        <v>1039.6999999999998</v>
      </c>
      <c r="N48" s="322">
        <f t="shared" si="18"/>
        <v>2187.8000000000002</v>
      </c>
      <c r="O48" s="322">
        <f t="shared" si="18"/>
        <v>0</v>
      </c>
      <c r="P48" s="453">
        <f t="shared" si="18"/>
        <v>0</v>
      </c>
      <c r="Q48" s="453">
        <f t="shared" si="18"/>
        <v>0</v>
      </c>
      <c r="R48" s="453">
        <f t="shared" si="18"/>
        <v>0</v>
      </c>
      <c r="S48" s="453">
        <f t="shared" si="18"/>
        <v>0</v>
      </c>
      <c r="T48" s="124" t="e">
        <f>'[2]5'!R183</f>
        <v>#REF!</v>
      </c>
      <c r="U48" s="124" t="e">
        <f>'[2]5'!S183</f>
        <v>#REF!</v>
      </c>
      <c r="V48" s="124" t="e">
        <f>'[2]5'!T183</f>
        <v>#REF!</v>
      </c>
      <c r="W48" s="124" t="e">
        <f>'[3]5 (2)'!U189</f>
        <v>#REF!</v>
      </c>
      <c r="X48" s="124" t="e">
        <f>'[2]5'!V183</f>
        <v>#REF!</v>
      </c>
      <c r="Y48" s="124" t="e">
        <f>'[2]5'!W183</f>
        <v>#REF!</v>
      </c>
      <c r="Z48" t="e">
        <f>'[3]5 (2)'!X189</f>
        <v>#REF!</v>
      </c>
    </row>
    <row r="49" spans="1:30">
      <c r="A49" s="628"/>
      <c r="B49" s="634"/>
      <c r="C49" s="614"/>
      <c r="D49" s="418" t="s">
        <v>463</v>
      </c>
      <c r="E49" s="414">
        <f>SUM(K49:P49)</f>
        <v>0</v>
      </c>
      <c r="F49" s="415"/>
      <c r="G49" s="415"/>
      <c r="H49" s="415"/>
      <c r="I49" s="415"/>
      <c r="J49" s="415"/>
      <c r="K49" s="416"/>
      <c r="L49" s="415"/>
      <c r="M49" s="415"/>
      <c r="N49" s="415"/>
      <c r="O49" s="415"/>
      <c r="P49" s="417"/>
      <c r="Q49" s="417"/>
      <c r="R49" s="415"/>
      <c r="S49" s="419"/>
      <c r="T49" s="124" t="e">
        <f t="shared" ref="T49:Z49" si="19">T48-K48</f>
        <v>#REF!</v>
      </c>
      <c r="U49" s="124" t="e">
        <f t="shared" si="19"/>
        <v>#REF!</v>
      </c>
      <c r="V49" s="124" t="e">
        <f t="shared" si="19"/>
        <v>#REF!</v>
      </c>
      <c r="W49" s="124" t="e">
        <f t="shared" si="19"/>
        <v>#REF!</v>
      </c>
      <c r="X49" s="124" t="e">
        <f t="shared" si="19"/>
        <v>#REF!</v>
      </c>
      <c r="Y49" s="124" t="e">
        <f t="shared" si="19"/>
        <v>#REF!</v>
      </c>
      <c r="Z49" s="124" t="e">
        <f t="shared" si="19"/>
        <v>#REF!</v>
      </c>
    </row>
    <row r="50" spans="1:30">
      <c r="A50" s="628"/>
      <c r="B50" s="634"/>
      <c r="C50" s="614"/>
      <c r="D50" s="418" t="s">
        <v>464</v>
      </c>
      <c r="E50" s="414">
        <f>SUM(K50:Q50)</f>
        <v>2843.0999999999995</v>
      </c>
      <c r="F50" s="415" t="e">
        <f>'[6]5 '!N87</f>
        <v>#REF!</v>
      </c>
      <c r="G50" s="415" t="e">
        <f>'[6]5 '!O87</f>
        <v>#REF!</v>
      </c>
      <c r="H50" s="415">
        <f>1214.5+50</f>
        <v>1264.5</v>
      </c>
      <c r="I50" s="415">
        <f>1111.1-5.2</f>
        <v>1105.8999999999999</v>
      </c>
      <c r="J50" s="415" t="e">
        <f>'[4]5 '!Q106+'[4]5 '!Q101</f>
        <v>#REF!</v>
      </c>
      <c r="K50" s="416">
        <f>'[1]5 '!R209+'[1]5 '!R210</f>
        <v>1038.3</v>
      </c>
      <c r="L50" s="416">
        <f>'[1]5 '!S209</f>
        <v>52.1</v>
      </c>
      <c r="M50" s="416">
        <f>'[1]5 '!T211</f>
        <v>1039.6999999999998</v>
      </c>
      <c r="N50" s="416">
        <v>713</v>
      </c>
      <c r="O50" s="416">
        <v>0</v>
      </c>
      <c r="P50" s="416">
        <v>0</v>
      </c>
      <c r="Q50" s="447">
        <v>0</v>
      </c>
      <c r="R50" s="416">
        <f>'[1]5 '!Y229+'[1]5 '!Y234</f>
        <v>0</v>
      </c>
      <c r="S50" s="416">
        <f>'[1]5 '!Z229+'[1]5 '!Z234</f>
        <v>0</v>
      </c>
      <c r="T50" s="124"/>
    </row>
    <row r="51" spans="1:30" ht="13.5" customHeight="1">
      <c r="A51" s="628"/>
      <c r="B51" s="634"/>
      <c r="C51" s="614"/>
      <c r="D51" s="418" t="s">
        <v>465</v>
      </c>
      <c r="E51" s="414">
        <f>SUM(K51:Q51)</f>
        <v>4120.3999999999996</v>
      </c>
      <c r="F51" s="415"/>
      <c r="G51" s="415"/>
      <c r="H51" s="415"/>
      <c r="I51" s="415"/>
      <c r="J51" s="415" t="e">
        <f>'[4]5 '!Q104</f>
        <v>#REF!</v>
      </c>
      <c r="K51" s="416">
        <f>'[1]5 '!R212</f>
        <v>1008.1</v>
      </c>
      <c r="L51" s="416">
        <f>'[1]5 '!S212</f>
        <v>1637.5</v>
      </c>
      <c r="M51" s="416">
        <f>'[1]5 '!T214</f>
        <v>0</v>
      </c>
      <c r="N51" s="416">
        <v>1474.8</v>
      </c>
      <c r="O51" s="416">
        <v>0</v>
      </c>
      <c r="P51" s="416">
        <f>'[1]5 '!W214</f>
        <v>0</v>
      </c>
      <c r="Q51" s="416">
        <f>'[1]5 '!X214</f>
        <v>0</v>
      </c>
      <c r="R51" s="416">
        <f>'[1]5 '!Y214</f>
        <v>0</v>
      </c>
      <c r="S51" s="416">
        <f>'[1]5 '!Z214</f>
        <v>0</v>
      </c>
      <c r="T51" s="124"/>
    </row>
    <row r="52" spans="1:30" ht="14.25" customHeight="1">
      <c r="A52" s="628"/>
      <c r="B52" s="634"/>
      <c r="C52" s="614"/>
      <c r="D52" s="418" t="s">
        <v>466</v>
      </c>
      <c r="E52" s="414">
        <f>SUM(K52:P52)</f>
        <v>0</v>
      </c>
      <c r="F52" s="415"/>
      <c r="G52" s="415"/>
      <c r="H52" s="415"/>
      <c r="I52" s="415"/>
      <c r="J52" s="415"/>
      <c r="K52" s="416"/>
      <c r="L52" s="416"/>
      <c r="M52" s="416"/>
      <c r="N52" s="416"/>
      <c r="O52" s="416"/>
      <c r="P52" s="447"/>
      <c r="Q52" s="447"/>
      <c r="R52" s="416"/>
      <c r="S52" s="454"/>
      <c r="T52" s="124"/>
    </row>
    <row r="53" spans="1:30" ht="24.75" customHeight="1">
      <c r="A53" s="628"/>
      <c r="B53" s="634"/>
      <c r="C53" s="614"/>
      <c r="D53" s="418" t="s">
        <v>467</v>
      </c>
      <c r="E53" s="414">
        <f>SUM(K53:P53)</f>
        <v>0</v>
      </c>
      <c r="F53" s="415"/>
      <c r="G53" s="415"/>
      <c r="H53" s="415"/>
      <c r="I53" s="415"/>
      <c r="J53" s="415"/>
      <c r="K53" s="416"/>
      <c r="L53" s="416"/>
      <c r="M53" s="416"/>
      <c r="N53" s="416"/>
      <c r="O53" s="416"/>
      <c r="P53" s="447"/>
      <c r="Q53" s="447"/>
      <c r="R53" s="416"/>
      <c r="S53" s="454"/>
      <c r="T53" s="124"/>
    </row>
    <row r="54" spans="1:30" ht="22.5">
      <c r="A54" s="628"/>
      <c r="B54" s="634"/>
      <c r="C54" s="614"/>
      <c r="D54" s="420" t="s">
        <v>468</v>
      </c>
      <c r="E54" s="414">
        <f>SUM(K54:P54)</f>
        <v>0</v>
      </c>
      <c r="F54" s="415"/>
      <c r="G54" s="415"/>
      <c r="H54" s="415"/>
      <c r="I54" s="415"/>
      <c r="J54" s="415"/>
      <c r="K54" s="416"/>
      <c r="L54" s="416"/>
      <c r="M54" s="416"/>
      <c r="N54" s="416"/>
      <c r="O54" s="416"/>
      <c r="P54" s="447"/>
      <c r="Q54" s="447"/>
      <c r="R54" s="416"/>
      <c r="S54" s="454"/>
      <c r="T54" s="124"/>
    </row>
    <row r="55" spans="1:30">
      <c r="A55" s="629"/>
      <c r="B55" s="635"/>
      <c r="C55" s="615"/>
      <c r="D55" s="421" t="s">
        <v>469</v>
      </c>
      <c r="E55" s="422">
        <f>SUM(K55:P55)</f>
        <v>0</v>
      </c>
      <c r="F55" s="423">
        <v>50</v>
      </c>
      <c r="G55" s="423">
        <v>50</v>
      </c>
      <c r="H55" s="423"/>
      <c r="I55" s="423"/>
      <c r="J55" s="423"/>
      <c r="K55" s="424"/>
      <c r="L55" s="424"/>
      <c r="M55" s="424"/>
      <c r="N55" s="424"/>
      <c r="O55" s="424"/>
      <c r="P55" s="455"/>
      <c r="Q55" s="455"/>
      <c r="R55" s="424"/>
      <c r="S55" s="456"/>
      <c r="T55" s="124"/>
    </row>
    <row r="56" spans="1:30" ht="15" customHeight="1">
      <c r="A56" s="628" t="s">
        <v>736</v>
      </c>
      <c r="B56" s="634" t="s">
        <v>810</v>
      </c>
      <c r="C56" s="612" t="s">
        <v>332</v>
      </c>
      <c r="D56" s="426" t="s">
        <v>109</v>
      </c>
      <c r="E56" s="427">
        <f>SUM(K56:Q56)</f>
        <v>23177.788</v>
      </c>
      <c r="F56" s="443" t="e">
        <f t="shared" ref="F56:S56" si="20">F57+F63+F64</f>
        <v>#REF!</v>
      </c>
      <c r="G56" s="443">
        <f t="shared" si="20"/>
        <v>3443.9999999999995</v>
      </c>
      <c r="H56" s="443">
        <f t="shared" si="20"/>
        <v>3818.3</v>
      </c>
      <c r="I56" s="443">
        <f t="shared" si="20"/>
        <v>4800.2999999999993</v>
      </c>
      <c r="J56" s="443" t="e">
        <f t="shared" si="20"/>
        <v>#REF!</v>
      </c>
      <c r="K56" s="444">
        <f t="shared" si="20"/>
        <v>7468.9119999999994</v>
      </c>
      <c r="L56" s="444">
        <f t="shared" si="20"/>
        <v>4495.4759999999997</v>
      </c>
      <c r="M56" s="444">
        <f t="shared" si="20"/>
        <v>3748.8999999999996</v>
      </c>
      <c r="N56" s="444">
        <f t="shared" si="20"/>
        <v>3320.2</v>
      </c>
      <c r="O56" s="444">
        <f t="shared" si="20"/>
        <v>2711.5</v>
      </c>
      <c r="P56" s="457">
        <f t="shared" si="20"/>
        <v>716.4</v>
      </c>
      <c r="Q56" s="457">
        <f t="shared" si="20"/>
        <v>716.4</v>
      </c>
      <c r="R56" s="457">
        <f t="shared" si="20"/>
        <v>723.54970000000003</v>
      </c>
      <c r="S56" s="457">
        <f t="shared" si="20"/>
        <v>731.07833410000001</v>
      </c>
      <c r="T56" s="124"/>
    </row>
    <row r="57" spans="1:30" ht="22.5">
      <c r="A57" s="628"/>
      <c r="B57" s="634"/>
      <c r="C57" s="612"/>
      <c r="D57" s="413" t="s">
        <v>462</v>
      </c>
      <c r="E57" s="414">
        <f>SUM(K57:Q57)</f>
        <v>18128.388000000003</v>
      </c>
      <c r="F57" s="415" t="e">
        <f t="shared" ref="F57:S57" si="21">F59+F60+F61+F62</f>
        <v>#REF!</v>
      </c>
      <c r="G57" s="415">
        <f t="shared" si="21"/>
        <v>2857.3999999999996</v>
      </c>
      <c r="H57" s="415">
        <f t="shared" si="21"/>
        <v>2510.5</v>
      </c>
      <c r="I57" s="415">
        <f t="shared" si="21"/>
        <v>3304.7999999999997</v>
      </c>
      <c r="J57" s="415" t="e">
        <f t="shared" si="21"/>
        <v>#REF!</v>
      </c>
      <c r="K57" s="416">
        <f t="shared" si="21"/>
        <v>6424.2119999999995</v>
      </c>
      <c r="L57" s="416">
        <f t="shared" si="21"/>
        <v>3398.2759999999998</v>
      </c>
      <c r="M57" s="416">
        <f t="shared" si="21"/>
        <v>3167.3999999999996</v>
      </c>
      <c r="N57" s="416">
        <f t="shared" si="21"/>
        <v>2738.7</v>
      </c>
      <c r="O57" s="416">
        <f t="shared" si="21"/>
        <v>2130</v>
      </c>
      <c r="P57" s="447">
        <f t="shared" si="21"/>
        <v>134.9</v>
      </c>
      <c r="Q57" s="447">
        <f t="shared" si="21"/>
        <v>134.9</v>
      </c>
      <c r="R57" s="447">
        <f t="shared" si="21"/>
        <v>142.0497</v>
      </c>
      <c r="S57" s="447">
        <f t="shared" si="21"/>
        <v>149.57833409999998</v>
      </c>
      <c r="T57" s="124" t="e">
        <f>'[2]5'!R208</f>
        <v>#REF!</v>
      </c>
      <c r="U57" s="124" t="e">
        <f>'[2]5'!S208</f>
        <v>#REF!</v>
      </c>
      <c r="V57" s="124" t="e">
        <f>'[2]5'!T209</f>
        <v>#REF!</v>
      </c>
      <c r="W57" s="124" t="e">
        <f>'[3]5 (2)'!U217</f>
        <v>#REF!</v>
      </c>
      <c r="X57" s="124" t="e">
        <f>'[2]5'!V209</f>
        <v>#REF!</v>
      </c>
      <c r="Y57" s="124" t="e">
        <f>'[2]5'!W209</f>
        <v>#REF!</v>
      </c>
      <c r="Z57" s="124" t="e">
        <f>'[3]5 (2)'!X217</f>
        <v>#REF!</v>
      </c>
      <c r="AA57" s="124"/>
      <c r="AB57" s="124"/>
      <c r="AC57" s="124" t="e">
        <f>'[2]5'!AA208</f>
        <v>#REF!</v>
      </c>
      <c r="AD57" s="124" t="e">
        <f>'[2]5'!AB208</f>
        <v>#REF!</v>
      </c>
    </row>
    <row r="58" spans="1:30">
      <c r="A58" s="628"/>
      <c r="B58" s="634"/>
      <c r="C58" s="612"/>
      <c r="D58" s="418" t="s">
        <v>463</v>
      </c>
      <c r="E58" s="414">
        <f>SUM(K58:P58)</f>
        <v>0</v>
      </c>
      <c r="F58" s="415"/>
      <c r="G58" s="415"/>
      <c r="H58" s="415"/>
      <c r="I58" s="415"/>
      <c r="J58" s="415"/>
      <c r="K58" s="416"/>
      <c r="L58" s="416"/>
      <c r="M58" s="416"/>
      <c r="N58" s="416"/>
      <c r="O58" s="416"/>
      <c r="P58" s="447"/>
      <c r="Q58" s="447"/>
      <c r="R58" s="416"/>
      <c r="S58" s="416"/>
      <c r="T58" s="124" t="e">
        <f t="shared" ref="T58:Z58" si="22">T57-K57</f>
        <v>#REF!</v>
      </c>
      <c r="U58" s="124" t="e">
        <f t="shared" si="22"/>
        <v>#REF!</v>
      </c>
      <c r="V58" s="124" t="e">
        <f t="shared" si="22"/>
        <v>#REF!</v>
      </c>
      <c r="W58" s="124" t="e">
        <f t="shared" si="22"/>
        <v>#REF!</v>
      </c>
      <c r="X58" s="124" t="e">
        <f t="shared" si="22"/>
        <v>#REF!</v>
      </c>
      <c r="Y58" s="124" t="e">
        <f t="shared" si="22"/>
        <v>#REF!</v>
      </c>
      <c r="Z58" s="124" t="e">
        <f t="shared" si="22"/>
        <v>#REF!</v>
      </c>
      <c r="AA58" s="124"/>
      <c r="AB58" s="124"/>
      <c r="AC58" s="124" t="e">
        <f>AC57-W57</f>
        <v>#REF!</v>
      </c>
      <c r="AD58" s="124" t="e">
        <f>AD57-X57</f>
        <v>#REF!</v>
      </c>
    </row>
    <row r="59" spans="1:30">
      <c r="A59" s="628"/>
      <c r="B59" s="634"/>
      <c r="C59" s="612"/>
      <c r="D59" s="418" t="s">
        <v>464</v>
      </c>
      <c r="E59" s="414">
        <f>SUM(K59:Q59)</f>
        <v>13717.820999999998</v>
      </c>
      <c r="F59" s="430" t="e">
        <f>'[6]5 '!N100</f>
        <v>#REF!</v>
      </c>
      <c r="G59" s="430">
        <v>489.7</v>
      </c>
      <c r="H59" s="430">
        <f>154.5+123.9</f>
        <v>278.39999999999998</v>
      </c>
      <c r="I59" s="430">
        <v>361.6</v>
      </c>
      <c r="J59" s="430" t="e">
        <f>'[4]5 '!Q113+'[4]5 '!Q114+'[4]5 '!Q117+'[4]5 '!Q118</f>
        <v>#REF!</v>
      </c>
      <c r="K59" s="431">
        <f>'[1]5 '!R240+'[1]5 '!R244</f>
        <v>6279.0209999999997</v>
      </c>
      <c r="L59" s="431">
        <f>'[1]5 '!S240+'[1]5 '!S244</f>
        <v>3236.1</v>
      </c>
      <c r="M59" s="431">
        <f>'[1]5 '!T238+'[1]5 '!T239</f>
        <v>3024.8999999999996</v>
      </c>
      <c r="N59" s="431">
        <f>'[1]5 '!U240+'[1]5 '!U243+'[1]5 '!U247+'[1]5 '!U249+'[1]5 '!U250+'[1]5 '!U256</f>
        <v>773.1</v>
      </c>
      <c r="O59" s="431">
        <f>'[1]5 '!V240+'[1]5 '!V243+'[1]5 '!V247+'[1]5 '!V249+'[1]5 '!V250+'[1]5 '!V256</f>
        <v>134.9</v>
      </c>
      <c r="P59" s="431">
        <f>'[1]5 '!W249+'[1]5 '!W256</f>
        <v>134.9</v>
      </c>
      <c r="Q59" s="431">
        <f>'[1]5 '!X249+'[1]5 '!X256</f>
        <v>134.9</v>
      </c>
      <c r="R59" s="431">
        <f>'[1]5 '!Y249+'[1]5 '!Y256</f>
        <v>142.0497</v>
      </c>
      <c r="S59" s="431">
        <f>'[1]5 '!Z249+'[1]5 '!Z256</f>
        <v>149.57833409999998</v>
      </c>
      <c r="T59" s="124">
        <f>M59-'5 '!T222</f>
        <v>3024.8999999999996</v>
      </c>
    </row>
    <row r="60" spans="1:30" ht="13.5" customHeight="1">
      <c r="A60" s="628"/>
      <c r="B60" s="634"/>
      <c r="C60" s="612"/>
      <c r="D60" s="418" t="s">
        <v>465</v>
      </c>
      <c r="E60" s="414">
        <f>SUM(K60:Q60)</f>
        <v>4410.5669999999991</v>
      </c>
      <c r="F60" s="430"/>
      <c r="G60" s="430">
        <v>2367.6999999999998</v>
      </c>
      <c r="H60" s="430">
        <v>2232.1</v>
      </c>
      <c r="I60" s="430">
        <v>2943.2</v>
      </c>
      <c r="J60" s="430" t="e">
        <f>'[4]5 '!Q111</f>
        <v>#REF!</v>
      </c>
      <c r="K60" s="431">
        <f>'[1]5 '!R257+'[1]5 '!R254+'[1]5 '!R247</f>
        <v>145.191</v>
      </c>
      <c r="L60" s="431">
        <f>'[1]5 '!S257+'[1]5 '!S254+'[1]5 '!S247</f>
        <v>162.17599999999999</v>
      </c>
      <c r="M60" s="431">
        <f>'[1]5 '!T255+'[1]5 '!T250+'[1]5 '!T248</f>
        <v>142.5</v>
      </c>
      <c r="N60" s="431">
        <f>'[1]5 '!U242</f>
        <v>1965.6</v>
      </c>
      <c r="O60" s="431">
        <f>'[1]5 '!V242</f>
        <v>1995.1</v>
      </c>
      <c r="P60" s="431">
        <f>'[1]5 '!W241+'[1]5 '!W242</f>
        <v>0</v>
      </c>
      <c r="Q60" s="431">
        <f>'[1]5 '!X241+'[1]5 '!X242</f>
        <v>0</v>
      </c>
      <c r="R60" s="431">
        <f>'[1]5 '!Y241+'[1]5 '!Y242</f>
        <v>0</v>
      </c>
      <c r="S60" s="431">
        <f>'[1]5 '!Z241+'[1]5 '!Z242</f>
        <v>0</v>
      </c>
      <c r="T60" s="124"/>
    </row>
    <row r="61" spans="1:30" ht="14.25" customHeight="1">
      <c r="A61" s="628"/>
      <c r="B61" s="634"/>
      <c r="C61" s="612"/>
      <c r="D61" s="418" t="s">
        <v>466</v>
      </c>
      <c r="E61" s="414">
        <f>SUM(K61:P61)</f>
        <v>0</v>
      </c>
      <c r="F61" s="430"/>
      <c r="G61" s="430"/>
      <c r="H61" s="430"/>
      <c r="I61" s="430"/>
      <c r="J61" s="430"/>
      <c r="K61" s="431"/>
      <c r="L61" s="430"/>
      <c r="M61" s="430"/>
      <c r="N61" s="430"/>
      <c r="O61" s="430"/>
      <c r="P61" s="432"/>
      <c r="Q61" s="432"/>
      <c r="R61" s="430"/>
      <c r="S61" s="430"/>
      <c r="T61" s="124"/>
      <c r="Z61" s="126">
        <v>232340</v>
      </c>
      <c r="AA61" s="127">
        <v>36547.1</v>
      </c>
      <c r="AB61" s="127">
        <v>170173.3</v>
      </c>
      <c r="AC61" s="127">
        <v>25619.599999999999</v>
      </c>
      <c r="AD61" s="128">
        <v>4988.8999999999996</v>
      </c>
    </row>
    <row r="62" spans="1:30" ht="25.5" customHeight="1">
      <c r="A62" s="628"/>
      <c r="B62" s="634"/>
      <c r="C62" s="612"/>
      <c r="D62" s="418" t="s">
        <v>467</v>
      </c>
      <c r="E62" s="414">
        <f>SUM(K62:P62)</f>
        <v>0</v>
      </c>
      <c r="F62" s="430"/>
      <c r="G62" s="430"/>
      <c r="H62" s="430"/>
      <c r="I62" s="430"/>
      <c r="J62" s="430"/>
      <c r="K62" s="431"/>
      <c r="L62" s="430"/>
      <c r="M62" s="430"/>
      <c r="N62" s="430"/>
      <c r="O62" s="430"/>
      <c r="P62" s="432"/>
      <c r="Q62" s="432"/>
      <c r="R62" s="430"/>
      <c r="S62" s="430"/>
      <c r="T62" s="124"/>
      <c r="Z62" s="129"/>
      <c r="AA62" s="129"/>
      <c r="AB62" s="129"/>
      <c r="AC62" s="129"/>
      <c r="AD62" s="130"/>
    </row>
    <row r="63" spans="1:30" ht="22.5">
      <c r="A63" s="628"/>
      <c r="B63" s="634"/>
      <c r="C63" s="612"/>
      <c r="D63" s="420" t="s">
        <v>468</v>
      </c>
      <c r="E63" s="414">
        <f>SUM(K63:P63)</f>
        <v>0</v>
      </c>
      <c r="F63" s="430"/>
      <c r="G63" s="430"/>
      <c r="H63" s="430"/>
      <c r="I63" s="430"/>
      <c r="J63" s="430"/>
      <c r="K63" s="431"/>
      <c r="L63" s="430"/>
      <c r="M63" s="430"/>
      <c r="N63" s="430"/>
      <c r="O63" s="430"/>
      <c r="P63" s="432"/>
      <c r="Q63" s="432"/>
      <c r="R63" s="430"/>
      <c r="S63" s="430"/>
      <c r="T63" s="124"/>
      <c r="Z63" s="129"/>
      <c r="AA63" s="129"/>
      <c r="AB63" s="129"/>
      <c r="AC63" s="129"/>
      <c r="AD63" s="130"/>
    </row>
    <row r="64" spans="1:30" ht="15.75">
      <c r="A64" s="628"/>
      <c r="B64" s="634"/>
      <c r="C64" s="612"/>
      <c r="D64" s="434" t="s">
        <v>469</v>
      </c>
      <c r="E64" s="435">
        <f>SUM(K64:Q64)</f>
        <v>5049.3999999999996</v>
      </c>
      <c r="F64" s="436">
        <v>576.6</v>
      </c>
      <c r="G64" s="436">
        <v>586.6</v>
      </c>
      <c r="H64" s="436">
        <v>1307.8</v>
      </c>
      <c r="I64" s="436">
        <v>1495.5</v>
      </c>
      <c r="J64" s="436">
        <v>1161.5999999999999</v>
      </c>
      <c r="K64" s="437">
        <v>1044.7</v>
      </c>
      <c r="L64" s="436">
        <v>1097.2</v>
      </c>
      <c r="M64" s="436">
        <v>581.5</v>
      </c>
      <c r="N64" s="436">
        <v>581.5</v>
      </c>
      <c r="O64" s="436">
        <v>581.5</v>
      </c>
      <c r="P64" s="458">
        <v>581.5</v>
      </c>
      <c r="Q64" s="458">
        <v>581.5</v>
      </c>
      <c r="R64" s="458">
        <v>581.5</v>
      </c>
      <c r="S64" s="458">
        <v>581.5</v>
      </c>
      <c r="T64" s="124"/>
      <c r="Z64" s="129"/>
      <c r="AA64" s="129"/>
      <c r="AB64" s="129"/>
      <c r="AC64" s="129"/>
      <c r="AD64" s="130"/>
    </row>
    <row r="65" spans="1:30" ht="15.75" customHeight="1">
      <c r="A65" s="627" t="s">
        <v>736</v>
      </c>
      <c r="B65" s="633" t="s">
        <v>815</v>
      </c>
      <c r="C65" s="616" t="s">
        <v>816</v>
      </c>
      <c r="D65" s="408" t="s">
        <v>109</v>
      </c>
      <c r="E65" s="409">
        <f>SUM(K65:Q65)</f>
        <v>171948</v>
      </c>
      <c r="F65" s="409">
        <f t="shared" ref="F65:S65" si="23">F66+F72+F73</f>
        <v>13078.3</v>
      </c>
      <c r="G65" s="409">
        <f t="shared" si="23"/>
        <v>43772.799999999996</v>
      </c>
      <c r="H65" s="409">
        <f t="shared" si="23"/>
        <v>43683.199999999997</v>
      </c>
      <c r="I65" s="409">
        <f t="shared" si="23"/>
        <v>55556.1</v>
      </c>
      <c r="J65" s="409" t="e">
        <f t="shared" si="23"/>
        <v>#REF!</v>
      </c>
      <c r="K65" s="459">
        <f t="shared" si="23"/>
        <v>29522.399999999998</v>
      </c>
      <c r="L65" s="409">
        <f t="shared" si="23"/>
        <v>395.0000000000004</v>
      </c>
      <c r="M65" s="409">
        <f t="shared" si="23"/>
        <v>104.69999999999982</v>
      </c>
      <c r="N65" s="409">
        <f t="shared" si="23"/>
        <v>35624.699999999997</v>
      </c>
      <c r="O65" s="409">
        <f t="shared" si="23"/>
        <v>43932</v>
      </c>
      <c r="P65" s="460">
        <f t="shared" si="23"/>
        <v>31025.5</v>
      </c>
      <c r="Q65" s="460">
        <f t="shared" si="23"/>
        <v>31343.7</v>
      </c>
      <c r="R65" s="460">
        <f t="shared" si="23"/>
        <v>32283.743200000001</v>
      </c>
      <c r="S65" s="460">
        <f t="shared" si="23"/>
        <v>33273.599889600002</v>
      </c>
      <c r="T65" s="124">
        <v>28148.6</v>
      </c>
      <c r="U65" t="e">
        <f>'[7]5 '!S202</f>
        <v>#REF!</v>
      </c>
      <c r="Z65" s="129"/>
      <c r="AA65" s="129"/>
      <c r="AB65" s="129"/>
      <c r="AC65" s="129"/>
      <c r="AD65" s="130"/>
    </row>
    <row r="66" spans="1:30" ht="22.5">
      <c r="A66" s="628"/>
      <c r="B66" s="634"/>
      <c r="C66" s="612"/>
      <c r="D66" s="413" t="s">
        <v>462</v>
      </c>
      <c r="E66" s="414">
        <f>SUM(K66:Q66)</f>
        <v>171948</v>
      </c>
      <c r="F66" s="431">
        <f>F68+F69+F70+F71</f>
        <v>13078.3</v>
      </c>
      <c r="G66" s="430">
        <f>G68+G69+G70+G71</f>
        <v>43772.799999999996</v>
      </c>
      <c r="H66" s="430">
        <f t="shared" ref="H66:S66" si="24">H68+H69+H71+H70</f>
        <v>43683.199999999997</v>
      </c>
      <c r="I66" s="430">
        <f t="shared" si="24"/>
        <v>55556.1</v>
      </c>
      <c r="J66" s="430" t="e">
        <f t="shared" si="24"/>
        <v>#REF!</v>
      </c>
      <c r="K66" s="431">
        <f t="shared" si="24"/>
        <v>29522.399999999998</v>
      </c>
      <c r="L66" s="430">
        <f t="shared" si="24"/>
        <v>395.0000000000004</v>
      </c>
      <c r="M66" s="430">
        <f t="shared" si="24"/>
        <v>104.69999999999982</v>
      </c>
      <c r="N66" s="430">
        <f t="shared" si="24"/>
        <v>35624.699999999997</v>
      </c>
      <c r="O66" s="430">
        <f t="shared" si="24"/>
        <v>43932</v>
      </c>
      <c r="P66" s="430">
        <f t="shared" si="24"/>
        <v>31025.5</v>
      </c>
      <c r="Q66" s="430">
        <f t="shared" si="24"/>
        <v>31343.7</v>
      </c>
      <c r="R66" s="432">
        <f t="shared" si="24"/>
        <v>32283.743200000001</v>
      </c>
      <c r="S66" s="432">
        <f t="shared" si="24"/>
        <v>33273.599889600002</v>
      </c>
      <c r="T66" s="124" t="e">
        <f>'[2]5'!R231</f>
        <v>#REF!</v>
      </c>
      <c r="U66" s="124" t="e">
        <f>'[2]5'!S231</f>
        <v>#REF!</v>
      </c>
      <c r="V66" s="124" t="e">
        <f>'[3]5 (2)'!T240+'[3]5 (2)'!T300</f>
        <v>#REF!</v>
      </c>
      <c r="W66" s="124" t="e">
        <f>'[3]5 (2)'!U240+'[3]5 (2)'!U300</f>
        <v>#REF!</v>
      </c>
      <c r="X66" s="124" t="e">
        <f>'[3]5 (2)'!V240+'[3]5 (2)'!V300</f>
        <v>#REF!</v>
      </c>
      <c r="Y66" s="124" t="e">
        <f>'[3]5 (2)'!W240+'[3]5 (2)'!W300</f>
        <v>#REF!</v>
      </c>
      <c r="Z66" s="124" t="e">
        <f>'[3]5 (2)'!X240+'[3]5 (2)'!X300</f>
        <v>#REF!</v>
      </c>
      <c r="AA66" s="129">
        <f>'5 '!Y245+'5 '!Y305</f>
        <v>0</v>
      </c>
      <c r="AB66" s="129">
        <f>'5 '!Z245+'5 '!Z305</f>
        <v>0</v>
      </c>
      <c r="AC66" s="129"/>
      <c r="AD66" s="130"/>
    </row>
    <row r="67" spans="1:30" ht="15.75">
      <c r="A67" s="628"/>
      <c r="B67" s="634"/>
      <c r="C67" s="612"/>
      <c r="D67" s="418" t="s">
        <v>463</v>
      </c>
      <c r="E67" s="414">
        <f>SUM(K67:P67)</f>
        <v>0</v>
      </c>
      <c r="F67" s="430"/>
      <c r="G67" s="430"/>
      <c r="H67" s="430"/>
      <c r="I67" s="430"/>
      <c r="J67" s="430"/>
      <c r="K67" s="431"/>
      <c r="L67" s="430"/>
      <c r="M67" s="430"/>
      <c r="N67" s="430"/>
      <c r="O67" s="430"/>
      <c r="P67" s="432"/>
      <c r="Q67" s="432"/>
      <c r="R67" s="430"/>
      <c r="S67" s="439"/>
      <c r="T67" s="124">
        <f t="shared" ref="T67:AB67" si="25">K66-T68</f>
        <v>25575.621999999999</v>
      </c>
      <c r="U67" s="131">
        <f t="shared" si="25"/>
        <v>0</v>
      </c>
      <c r="V67" s="131">
        <f t="shared" si="25"/>
        <v>-1.8474111129762605E-13</v>
      </c>
      <c r="W67" s="131">
        <f t="shared" si="25"/>
        <v>35624.699999999997</v>
      </c>
      <c r="X67" s="131">
        <f t="shared" si="25"/>
        <v>43932</v>
      </c>
      <c r="Y67" s="131">
        <f t="shared" si="25"/>
        <v>31025.5</v>
      </c>
      <c r="Z67" s="131">
        <f t="shared" si="25"/>
        <v>31343.7</v>
      </c>
      <c r="AA67" s="131">
        <f t="shared" si="25"/>
        <v>32283.743200000001</v>
      </c>
      <c r="AB67" s="131">
        <f t="shared" si="25"/>
        <v>33273.599889600002</v>
      </c>
      <c r="AC67" s="130"/>
      <c r="AD67" s="130"/>
    </row>
    <row r="68" spans="1:30">
      <c r="A68" s="628"/>
      <c r="B68" s="634"/>
      <c r="C68" s="612"/>
      <c r="D68" s="418" t="s">
        <v>464</v>
      </c>
      <c r="E68" s="414">
        <f>SUM(K68:Q68)</f>
        <v>135071.296</v>
      </c>
      <c r="F68" s="430">
        <v>13078.3</v>
      </c>
      <c r="G68" s="430">
        <f>25952.2+13675.9+790.7+13</f>
        <v>40431.799999999996</v>
      </c>
      <c r="H68" s="430">
        <f>39612.2+361</f>
        <v>39973.199999999997</v>
      </c>
      <c r="I68" s="430">
        <v>51807.6</v>
      </c>
      <c r="J68" s="430" t="e">
        <f>'[4]5 '!Q124+'[4]5 '!Q125+'[4]5 '!Q128+'[4]5 '!Q130+'[4]5 '!Q134+'[4]5 '!Q135+'[4]5 '!Q136+'[4]5 '!Q137+'[4]5 '!Q138+'[4]5 '!Q140+'[4]5 '!Q142+'[4]5 '!Q145+'[4]5 '!Q146+'[4]5 '!Q151+'[4]5 '!Q152</f>
        <v>#REF!</v>
      </c>
      <c r="K68" s="431">
        <f>T65-K69-K70-K71+1373.8</f>
        <v>27106.096000000001</v>
      </c>
      <c r="L68" s="431">
        <f>U68-L69-L70-L71</f>
        <v>-3947.5999999999995</v>
      </c>
      <c r="M68" s="430">
        <f>V68-M69-M70-M71</f>
        <v>-3591.6000000000004</v>
      </c>
      <c r="N68" s="430">
        <f>24385</f>
        <v>24385</v>
      </c>
      <c r="O68" s="430">
        <v>30959.4</v>
      </c>
      <c r="P68" s="432">
        <v>29653.9</v>
      </c>
      <c r="Q68" s="432">
        <v>30506.1</v>
      </c>
      <c r="R68" s="432">
        <v>30956.2</v>
      </c>
      <c r="S68" s="432">
        <v>31914</v>
      </c>
      <c r="T68" s="124">
        <f>'5 '!R244+'5 '!R304</f>
        <v>3946.7779999999998</v>
      </c>
      <c r="U68" s="124">
        <f>'5 '!S244+'5 '!S304</f>
        <v>395</v>
      </c>
      <c r="V68" s="124">
        <f>'5 '!T245-'5 '!T305</f>
        <v>104.7</v>
      </c>
      <c r="W68" s="124">
        <f>'5 '!U245-'5 '!U305</f>
        <v>0</v>
      </c>
      <c r="X68" s="124">
        <f>'5 '!V245-'5 '!V305</f>
        <v>0</v>
      </c>
      <c r="Y68" s="124">
        <f>'5 '!W245-'5 '!W305</f>
        <v>0</v>
      </c>
      <c r="Z68" s="124">
        <f>'5 '!X245-'5 '!X305</f>
        <v>0</v>
      </c>
      <c r="AA68" s="124">
        <f>'5 '!Y245-'5 '!Y305</f>
        <v>0</v>
      </c>
      <c r="AB68" s="124">
        <f>'5 '!Z245-'5 '!Z305</f>
        <v>0</v>
      </c>
    </row>
    <row r="69" spans="1:30" ht="22.5">
      <c r="A69" s="628"/>
      <c r="B69" s="634"/>
      <c r="C69" s="612"/>
      <c r="D69" s="418" t="s">
        <v>465</v>
      </c>
      <c r="E69" s="414">
        <f>SUM(K69:Q69)</f>
        <v>32065.100000000006</v>
      </c>
      <c r="F69" s="430"/>
      <c r="G69" s="430"/>
      <c r="H69" s="430">
        <v>90.3</v>
      </c>
      <c r="I69" s="430">
        <v>383</v>
      </c>
      <c r="J69" s="430" t="e">
        <f>'[4]5 '!Q150+'[4]5 '!Q123</f>
        <v>#REF!</v>
      </c>
      <c r="K69" s="431">
        <v>1373.8</v>
      </c>
      <c r="L69" s="431">
        <f>'[1]5 '!S266+'[1]5 '!S320+'[1]5 '!S324+'[1]5 '!S330+'[1]5 '!S334</f>
        <v>3373.2</v>
      </c>
      <c r="M69" s="431">
        <f>'[1]5 '!T267+'[1]5 '!T294+'[1]5 '!T304+'[1]5 '!T321+'[1]5 '!T325+'[1]5 '!T331+'[1]5 '!T335</f>
        <v>2963.3</v>
      </c>
      <c r="N69" s="431">
        <f>'[1]5 '!U267+'[1]5 '!U294+'[1]5 '!U304+'[1]5 '!U321+'[1]5 '!U325+'[1]5 '!U331+'[1]5 '!U335-3529.4</f>
        <v>10459</v>
      </c>
      <c r="O69" s="431">
        <f>'[1]5 '!V267+'[1]5 '!V294+'[1]5 '!V304+'[1]5 '!V325+'[1]5 '!V331+'[1]5 '!V335-2166.9</f>
        <v>12563.900000000003</v>
      </c>
      <c r="P69" s="431">
        <f>'[1]5 '!W267+'[1]5 '!W294+'[1]5 '!W304+'[1]5 '!W325+'[1]5 '!W331+'[1]5 '!W335</f>
        <v>757.49999999999989</v>
      </c>
      <c r="Q69" s="431">
        <f>'[1]5 '!X267+'[1]5 '!X294+'[1]5 '!X304+'[1]5 '!X325+'[1]5 '!X331+'[1]5 '!X335</f>
        <v>574.4</v>
      </c>
      <c r="R69" s="431">
        <f>'[1]5 '!Y267+'[1]5 '!Y294+'[1]5 '!Y304+'[1]5 '!Y325+'[1]5 '!Y331+'[1]5 '!Y335</f>
        <v>604.84320000000002</v>
      </c>
      <c r="S69" s="431">
        <f>'[1]5 '!Z267+'[1]5 '!Z294+'[1]5 '!Z304+'[1]5 '!Z325+'[1]5 '!Z331+'[1]5 '!Z335</f>
        <v>636.89988959999994</v>
      </c>
      <c r="T69" s="124" t="s">
        <v>477</v>
      </c>
    </row>
    <row r="70" spans="1:30" ht="29.25" customHeight="1">
      <c r="A70" s="628"/>
      <c r="B70" s="634"/>
      <c r="C70" s="612"/>
      <c r="D70" s="418" t="s">
        <v>466</v>
      </c>
      <c r="E70" s="414">
        <f>SUM(K70:Q70)</f>
        <v>4464.3040000000001</v>
      </c>
      <c r="F70" s="430"/>
      <c r="G70" s="430">
        <v>2973.4</v>
      </c>
      <c r="H70" s="430">
        <f>3245.9+144.2</f>
        <v>3390.1</v>
      </c>
      <c r="I70" s="430">
        <v>3365.5</v>
      </c>
      <c r="J70" s="430" t="e">
        <f>'[4]5 '!Q148+'[4]5 '!Q149</f>
        <v>#REF!</v>
      </c>
      <c r="K70" s="431">
        <f>'[1]5 '!R328</f>
        <v>854.404</v>
      </c>
      <c r="L70" s="431">
        <f>'[1]5 '!S328</f>
        <v>830.7</v>
      </c>
      <c r="M70" s="431">
        <f>'[1]5 '!T329</f>
        <v>712.5</v>
      </c>
      <c r="N70" s="431">
        <f>'[1]5 '!U329</f>
        <v>780.7</v>
      </c>
      <c r="O70" s="431">
        <f>'[1]5 '!V329</f>
        <v>408.7</v>
      </c>
      <c r="P70" s="431">
        <f>'[1]5 '!W329</f>
        <v>614.1</v>
      </c>
      <c r="Q70" s="431">
        <f>'[1]5 '!X329</f>
        <v>263.2</v>
      </c>
      <c r="R70" s="431">
        <f>'[1]5 '!Y329</f>
        <v>722.7</v>
      </c>
      <c r="S70" s="431">
        <f>'[1]5 '!Z329</f>
        <v>722.7</v>
      </c>
      <c r="T70" s="124" t="s">
        <v>478</v>
      </c>
    </row>
    <row r="71" spans="1:30" ht="22.5">
      <c r="A71" s="628"/>
      <c r="B71" s="634"/>
      <c r="C71" s="612"/>
      <c r="D71" s="418" t="s">
        <v>467</v>
      </c>
      <c r="E71" s="414">
        <f>SUM(K71:Q71)</f>
        <v>347.29999999999995</v>
      </c>
      <c r="F71" s="430"/>
      <c r="G71" s="430">
        <f>179.6+188</f>
        <v>367.6</v>
      </c>
      <c r="H71" s="430">
        <f>229.6</f>
        <v>229.6</v>
      </c>
      <c r="I71" s="430"/>
      <c r="J71" s="430" t="e">
        <f>'[4]5 '!Q131</f>
        <v>#REF!</v>
      </c>
      <c r="K71" s="431">
        <f>'[1]5 '!R277</f>
        <v>188.1</v>
      </c>
      <c r="L71" s="431">
        <f>'[1]5 '!S277</f>
        <v>138.69999999999999</v>
      </c>
      <c r="M71" s="431">
        <f>'[1]5 '!T278</f>
        <v>20.5</v>
      </c>
      <c r="N71" s="431"/>
      <c r="O71" s="431"/>
      <c r="P71" s="431"/>
      <c r="Q71" s="433"/>
      <c r="R71" s="431"/>
      <c r="S71" s="461"/>
      <c r="T71" s="124" t="s">
        <v>479</v>
      </c>
      <c r="Y71" s="132"/>
      <c r="Z71" s="130"/>
      <c r="AA71" s="130"/>
    </row>
    <row r="72" spans="1:30" ht="22.5">
      <c r="A72" s="628"/>
      <c r="B72" s="634"/>
      <c r="C72" s="612"/>
      <c r="D72" s="420" t="s">
        <v>468</v>
      </c>
      <c r="E72" s="414">
        <f>SUM(K72:P72)</f>
        <v>0</v>
      </c>
      <c r="F72" s="430"/>
      <c r="G72" s="430"/>
      <c r="H72" s="430"/>
      <c r="I72" s="430"/>
      <c r="J72" s="430"/>
      <c r="K72" s="431"/>
      <c r="L72" s="430"/>
      <c r="M72" s="430"/>
      <c r="N72" s="430"/>
      <c r="O72" s="430"/>
      <c r="P72" s="432"/>
      <c r="Q72" s="432"/>
      <c r="R72" s="430"/>
      <c r="S72" s="439"/>
      <c r="T72" s="124"/>
      <c r="Z72" s="130"/>
      <c r="AA72" s="130"/>
    </row>
    <row r="73" spans="1:30" ht="15.75">
      <c r="A73" s="629"/>
      <c r="B73" s="635"/>
      <c r="C73" s="617"/>
      <c r="D73" s="421" t="s">
        <v>469</v>
      </c>
      <c r="E73" s="422">
        <f>SUM(K73:P73)</f>
        <v>0</v>
      </c>
      <c r="F73" s="440"/>
      <c r="G73" s="440"/>
      <c r="H73" s="440"/>
      <c r="I73" s="440"/>
      <c r="J73" s="440"/>
      <c r="K73" s="441"/>
      <c r="L73" s="440"/>
      <c r="M73" s="440"/>
      <c r="N73" s="440"/>
      <c r="O73" s="440"/>
      <c r="P73" s="462"/>
      <c r="Q73" s="462"/>
      <c r="R73" s="440"/>
      <c r="S73" s="463"/>
      <c r="T73" s="124"/>
      <c r="Z73" s="130"/>
      <c r="AA73" s="130"/>
    </row>
    <row r="74" spans="1:30" ht="15.75">
      <c r="G74" s="1"/>
      <c r="H74" s="1"/>
      <c r="I74" s="1"/>
      <c r="J74" s="1"/>
      <c r="L74" s="124"/>
      <c r="V74" s="130"/>
      <c r="W74" s="130"/>
    </row>
    <row r="75" spans="1:30" ht="15.75">
      <c r="G75" s="1"/>
      <c r="H75" s="1"/>
      <c r="I75" s="1"/>
      <c r="J75" s="1"/>
      <c r="V75" s="130"/>
      <c r="W75" s="130"/>
    </row>
    <row r="76" spans="1:30" ht="15.75">
      <c r="G76" s="1"/>
      <c r="H76" s="1"/>
      <c r="I76" s="1"/>
      <c r="J76" s="1"/>
      <c r="V76" s="130"/>
      <c r="W76" s="130"/>
    </row>
    <row r="77" spans="1:30">
      <c r="G77" s="1"/>
      <c r="H77" s="1"/>
      <c r="I77" s="1"/>
      <c r="J77" s="1"/>
    </row>
    <row r="78" spans="1:30">
      <c r="G78" s="1"/>
      <c r="H78" s="1"/>
      <c r="I78" s="1"/>
      <c r="J78" s="1"/>
    </row>
    <row r="79" spans="1:30">
      <c r="G79" s="1"/>
      <c r="H79" s="1"/>
      <c r="I79" s="1"/>
      <c r="J79" s="1"/>
    </row>
    <row r="80" spans="1:30">
      <c r="G80" s="1"/>
      <c r="H80" s="1"/>
      <c r="I80" s="1"/>
      <c r="J80" s="1"/>
    </row>
    <row r="81" spans="7:10">
      <c r="G81" s="1"/>
      <c r="H81" s="1"/>
      <c r="I81" s="1"/>
      <c r="J81" s="1"/>
    </row>
    <row r="82" spans="7:10">
      <c r="G82" s="1"/>
      <c r="H82" s="1"/>
      <c r="I82" s="1"/>
      <c r="J82" s="1"/>
    </row>
    <row r="83" spans="7:10">
      <c r="G83" s="1"/>
      <c r="H83" s="1"/>
      <c r="I83" s="1"/>
      <c r="J83" s="1"/>
    </row>
    <row r="84" spans="7:10">
      <c r="G84" s="1"/>
      <c r="H84" s="1"/>
      <c r="I84" s="1"/>
      <c r="J84" s="1"/>
    </row>
    <row r="85" spans="7:10">
      <c r="G85" s="1"/>
      <c r="H85" s="1"/>
      <c r="I85" s="1"/>
      <c r="J85" s="1"/>
    </row>
    <row r="86" spans="7:10">
      <c r="G86" s="1"/>
      <c r="H86" s="1"/>
      <c r="I86" s="1"/>
      <c r="J86" s="1"/>
    </row>
    <row r="87" spans="7:10">
      <c r="G87" s="1"/>
      <c r="H87" s="1"/>
      <c r="I87" s="1"/>
      <c r="J87" s="1"/>
    </row>
    <row r="88" spans="7:10">
      <c r="G88" s="1"/>
      <c r="H88" s="1"/>
      <c r="I88" s="1"/>
      <c r="J88" s="1"/>
    </row>
  </sheetData>
  <autoFilter ref="A10:L73"/>
  <mergeCells count="41">
    <mergeCell ref="A65:A73"/>
    <mergeCell ref="A38:A46"/>
    <mergeCell ref="A20:A28"/>
    <mergeCell ref="A29:A37"/>
    <mergeCell ref="A8:B9"/>
    <mergeCell ref="B29:B37"/>
    <mergeCell ref="B65:B73"/>
    <mergeCell ref="B20:B28"/>
    <mergeCell ref="B38:B46"/>
    <mergeCell ref="B11:B19"/>
    <mergeCell ref="A47:A55"/>
    <mergeCell ref="B47:B55"/>
    <mergeCell ref="A56:A64"/>
    <mergeCell ref="B56:B64"/>
    <mergeCell ref="A11:A19"/>
    <mergeCell ref="S9:S10"/>
    <mergeCell ref="R9:R10"/>
    <mergeCell ref="Q9:Q10"/>
    <mergeCell ref="P9:P10"/>
    <mergeCell ref="C29:C37"/>
    <mergeCell ref="C20:C28"/>
    <mergeCell ref="I9:I10"/>
    <mergeCell ref="O9:O10"/>
    <mergeCell ref="M9:M10"/>
    <mergeCell ref="J9:J10"/>
    <mergeCell ref="C38:C46"/>
    <mergeCell ref="C47:C55"/>
    <mergeCell ref="C56:C64"/>
    <mergeCell ref="C65:C73"/>
    <mergeCell ref="K3:N3"/>
    <mergeCell ref="N9:N10"/>
    <mergeCell ref="L9:L10"/>
    <mergeCell ref="K9:K10"/>
    <mergeCell ref="D8:D10"/>
    <mergeCell ref="E9:E10"/>
    <mergeCell ref="F9:F10"/>
    <mergeCell ref="G9:G10"/>
    <mergeCell ref="H9:H10"/>
    <mergeCell ref="E8:Q8"/>
    <mergeCell ref="C8:C10"/>
    <mergeCell ref="C11:C19"/>
  </mergeCells>
  <phoneticPr fontId="33" type="noConversion"/>
  <conditionalFormatting sqref="F12 F14">
    <cfRule type="expression" dxfId="0" priority="1" stopIfTrue="1">
      <formula>F12&lt;&gt;#REF!</formula>
    </cfRule>
  </conditionalFormatting>
  <pageMargins left="0.39370077848434398" right="0.39370077848434398" top="0.39370077848434398" bottom="0.39370077848434398" header="0" footer="0"/>
  <pageSetup paperSize="9" scale="84" fitToHeight="0" orientation="landscape" r:id="rId1"/>
  <headerFooter>
    <oddFooter>&amp;C&amp;11&amp;"Calibri,Regular"&amp;P&amp;12&amp;"-,Regular"</oddFooter>
  </headerFooter>
  <rowBreaks count="2" manualBreakCount="2">
    <brk id="28" max="16383" man="1"/>
    <brk id="55" max="16383" man="1"/>
  </rowBreaks>
</worksheet>
</file>

<file path=xl/worksheets/sheet7.xml><?xml version="1.0" encoding="utf-8"?>
<worksheet xmlns="http://schemas.openxmlformats.org/spreadsheetml/2006/main" xmlns:r="http://schemas.openxmlformats.org/officeDocument/2006/relationships">
  <dimension ref="A1:E8"/>
  <sheetViews>
    <sheetView workbookViewId="0"/>
  </sheetViews>
  <sheetFormatPr defaultColWidth="9.140625" defaultRowHeight="15"/>
  <cols>
    <col min="2" max="2" width="51.7109375" customWidth="1"/>
    <col min="3" max="3" width="21.85546875" customWidth="1"/>
    <col min="4" max="4" width="19.28515625" customWidth="1"/>
    <col min="5" max="5" width="28.140625" customWidth="1"/>
  </cols>
  <sheetData>
    <row r="1" spans="1:5" ht="15.75">
      <c r="C1" s="133" t="s">
        <v>480</v>
      </c>
    </row>
    <row r="2" spans="1:5" ht="15.75">
      <c r="C2" s="133" t="s">
        <v>481</v>
      </c>
    </row>
    <row r="4" spans="1:5">
      <c r="A4" s="636" t="s">
        <v>482</v>
      </c>
      <c r="B4" s="636"/>
      <c r="C4" s="636"/>
      <c r="D4" s="636"/>
      <c r="E4" s="636"/>
    </row>
    <row r="7" spans="1:5" ht="26.25">
      <c r="A7" s="134" t="s">
        <v>712</v>
      </c>
      <c r="B7" s="135" t="s">
        <v>483</v>
      </c>
      <c r="C7" s="135" t="s">
        <v>484</v>
      </c>
      <c r="D7" s="135" t="s">
        <v>485</v>
      </c>
      <c r="E7" s="135" t="s">
        <v>486</v>
      </c>
    </row>
    <row r="8" spans="1:5" ht="39">
      <c r="A8" s="136">
        <v>1</v>
      </c>
      <c r="B8" s="137" t="s">
        <v>487</v>
      </c>
      <c r="C8" s="138"/>
      <c r="D8" s="138"/>
      <c r="E8" s="138"/>
    </row>
  </sheetData>
  <mergeCells count="1">
    <mergeCell ref="A4:E4"/>
  </mergeCells>
  <phoneticPr fontId="33" type="noConversion"/>
  <pageMargins left="0.75" right="0.75" top="1" bottom="1" header="0.5" footer="0.5"/>
  <pageSetup paperSize="9" scale="99" orientation="landscape" r:id="rId1"/>
</worksheet>
</file>

<file path=xl/worksheets/sheet8.xml><?xml version="1.0" encoding="utf-8"?>
<worksheet xmlns="http://schemas.openxmlformats.org/spreadsheetml/2006/main" xmlns:r="http://schemas.openxmlformats.org/officeDocument/2006/relationships">
  <dimension ref="A1"/>
  <sheetViews>
    <sheetView workbookViewId="0"/>
  </sheetViews>
  <sheetFormatPr defaultColWidth="9.140625" defaultRowHeight="15"/>
  <sheetData/>
  <phoneticPr fontId="33" type="noConversion"/>
  <pageMargins left="0.70000004768371604" right="0.70000004768371604" top="0.75" bottom="0.75" header="0.30000001192092901" footer="0.30000001192092901"/>
</worksheet>
</file>

<file path=xl/worksheets/sheet9.xml><?xml version="1.0" encoding="utf-8"?>
<worksheet xmlns="http://schemas.openxmlformats.org/spreadsheetml/2006/main" xmlns:r="http://schemas.openxmlformats.org/officeDocument/2006/relationships">
  <dimension ref="A1:J13"/>
  <sheetViews>
    <sheetView workbookViewId="0"/>
  </sheetViews>
  <sheetFormatPr defaultColWidth="9.140625" defaultRowHeight="15"/>
  <cols>
    <col min="3" max="3" width="16.7109375" customWidth="1"/>
    <col min="5" max="5" width="12.28515625" customWidth="1"/>
    <col min="6" max="6" width="11.5703125" customWidth="1"/>
    <col min="7" max="7" width="14.85546875" customWidth="1"/>
    <col min="8" max="8" width="13.28515625" customWidth="1"/>
    <col min="9" max="9" width="13.5703125" customWidth="1"/>
    <col min="10" max="10" width="17.7109375" customWidth="1"/>
  </cols>
  <sheetData>
    <row r="1" spans="1:10" ht="15.75">
      <c r="F1" s="133" t="s">
        <v>488</v>
      </c>
    </row>
    <row r="2" spans="1:10" ht="15.75">
      <c r="F2" s="133" t="s">
        <v>489</v>
      </c>
    </row>
    <row r="4" spans="1:10" ht="15.75">
      <c r="C4" s="132"/>
    </row>
    <row r="5" spans="1:10" ht="36">
      <c r="C5" s="139" t="s">
        <v>490</v>
      </c>
      <c r="D5" s="637" t="s">
        <v>491</v>
      </c>
      <c r="E5" s="637"/>
      <c r="F5" s="637"/>
      <c r="G5" s="637"/>
      <c r="H5" s="637"/>
      <c r="I5" s="637"/>
      <c r="J5" s="637"/>
    </row>
    <row r="7" spans="1:10" ht="72.75">
      <c r="A7" s="638" t="s">
        <v>711</v>
      </c>
      <c r="B7" s="639"/>
      <c r="C7" s="640" t="s">
        <v>492</v>
      </c>
      <c r="D7" s="640" t="s">
        <v>493</v>
      </c>
      <c r="E7" s="640" t="s">
        <v>494</v>
      </c>
      <c r="F7" s="140" t="s">
        <v>495</v>
      </c>
      <c r="G7" s="140" t="s">
        <v>496</v>
      </c>
      <c r="H7" s="140" t="s">
        <v>497</v>
      </c>
      <c r="I7" s="140" t="s">
        <v>498</v>
      </c>
      <c r="J7" s="140" t="s">
        <v>499</v>
      </c>
    </row>
    <row r="8" spans="1:10">
      <c r="A8" s="141" t="s">
        <v>732</v>
      </c>
      <c r="B8" s="142" t="s">
        <v>733</v>
      </c>
      <c r="C8" s="641"/>
      <c r="D8" s="641"/>
      <c r="E8" s="641"/>
      <c r="F8" s="142"/>
      <c r="G8" s="142"/>
      <c r="H8" s="142"/>
      <c r="I8" s="142"/>
      <c r="J8" s="142"/>
    </row>
    <row r="9" spans="1:10" ht="108">
      <c r="A9" s="143">
        <v>1</v>
      </c>
      <c r="B9" s="144">
        <v>1</v>
      </c>
      <c r="C9" s="145" t="s">
        <v>738</v>
      </c>
      <c r="D9" s="145"/>
      <c r="E9" s="145" t="s">
        <v>500</v>
      </c>
      <c r="F9" s="145"/>
      <c r="G9" s="145">
        <v>1.41</v>
      </c>
      <c r="H9" s="145">
        <v>81.8</v>
      </c>
      <c r="I9" s="145"/>
      <c r="J9" s="145"/>
    </row>
    <row r="10" spans="1:10">
      <c r="A10" s="143" t="s">
        <v>501</v>
      </c>
      <c r="B10" s="144" t="s">
        <v>502</v>
      </c>
      <c r="C10" s="145"/>
      <c r="D10" s="145"/>
      <c r="E10" s="145"/>
      <c r="F10" s="145"/>
      <c r="G10" s="145"/>
      <c r="H10" s="145"/>
      <c r="I10" s="145"/>
      <c r="J10" s="145"/>
    </row>
    <row r="11" spans="1:10">
      <c r="A11" s="143" t="s">
        <v>501</v>
      </c>
      <c r="B11" s="144" t="s">
        <v>502</v>
      </c>
      <c r="C11" s="145"/>
      <c r="D11" s="145"/>
      <c r="E11" s="145"/>
      <c r="F11" s="145"/>
      <c r="G11" s="145"/>
      <c r="H11" s="145"/>
      <c r="I11" s="145"/>
      <c r="J11" s="145"/>
    </row>
    <row r="12" spans="1:10">
      <c r="A12" s="143" t="s">
        <v>503</v>
      </c>
      <c r="B12" s="144"/>
      <c r="C12" s="145"/>
      <c r="D12" s="145"/>
      <c r="E12" s="145"/>
      <c r="F12" s="145"/>
      <c r="G12" s="145"/>
      <c r="H12" s="145"/>
      <c r="I12" s="145"/>
      <c r="J12" s="145"/>
    </row>
    <row r="13" spans="1:10">
      <c r="A13" s="143"/>
      <c r="B13" s="144"/>
      <c r="C13" s="145"/>
      <c r="D13" s="145"/>
      <c r="E13" s="145"/>
      <c r="F13" s="145"/>
      <c r="G13" s="145"/>
      <c r="H13" s="145"/>
      <c r="I13" s="145"/>
      <c r="J13" s="145"/>
    </row>
  </sheetData>
  <mergeCells count="5">
    <mergeCell ref="D5:J5"/>
    <mergeCell ref="A7:B7"/>
    <mergeCell ref="C7:C8"/>
    <mergeCell ref="D7:D8"/>
    <mergeCell ref="E7:E8"/>
  </mergeCells>
  <phoneticPr fontId="33" type="noConversion"/>
  <pageMargins left="0.75" right="0.75" top="1" bottom="1" header="0.5" footer="0.5"/>
  <pageSetup paperSize="9" fitToWidth="0" fitToHeight="0" orientation="landscape"/>
  <drawing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1 внесены изменения</vt:lpstr>
      <vt:lpstr>2 </vt:lpstr>
      <vt:lpstr>3</vt:lpstr>
      <vt:lpstr>4 </vt:lpstr>
      <vt:lpstr>5 </vt:lpstr>
      <vt:lpstr>6 </vt:lpstr>
      <vt:lpstr>7</vt:lpstr>
      <vt:lpstr>Лист1</vt:lpstr>
      <vt:lpstr>8</vt:lpstr>
      <vt:lpstr>'2 '!_ftn1</vt:lpstr>
      <vt:lpstr>'2 '!_ftnref1</vt:lpstr>
      <vt:lpstr>'1 внесены изменения'!Область_печати</vt:lpstr>
      <vt:lpstr>'2 '!Область_печати</vt:lpstr>
      <vt:lpstr>'3'!Область_печати</vt:lpstr>
      <vt:lpstr>'4 '!Область_печати</vt:lpstr>
      <vt:lpstr>'5 '!Область_печати</vt:lpstr>
      <vt:lpstr>'6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2025-04-01T09:29:06Z</cp:lastPrinted>
  <dcterms:created xsi:type="dcterms:W3CDTF">2025-02-06T12:19:22Z</dcterms:created>
  <dcterms:modified xsi:type="dcterms:W3CDTF">2025-04-14T06:52:06Z</dcterms:modified>
</cp:coreProperties>
</file>